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01-202~1\LICITA~1\CONCOR~1\PROCES~1.202\EDITAL~2.202\PARASI~1\"/>
    </mc:Choice>
  </mc:AlternateContent>
  <bookViews>
    <workbookView xWindow="0" yWindow="0" windowWidth="20490" windowHeight="7650" activeTab="1"/>
  </bookViews>
  <sheets>
    <sheet name="CRONOGRAMA SEM DESONERAÇÃO" sheetId="4" r:id="rId1"/>
    <sheet name="RESUMO SEM DESONERAÇÃO" sheetId="2" r:id="rId2"/>
    <sheet name="PLANILHA SEM DESON" sheetId="36" r:id="rId3"/>
    <sheet name="COMP CIVIL" sheetId="24" r:id="rId4"/>
    <sheet name="COMP ESTRUT" sheetId="35" r:id="rId5"/>
    <sheet name="COMP ELE" sheetId="31" r:id="rId6"/>
    <sheet name="COMP HIDR" sheetId="29" r:id="rId7"/>
    <sheet name="COMP ETE" sheetId="45" r:id="rId8"/>
    <sheet name="QTITQTIVO ARQ FINAL" sheetId="46" r:id="rId9"/>
    <sheet name="QTITQTIVO ESTRUTURAL" sheetId="42" r:id="rId10"/>
    <sheet name="QT ESTR MURO-MURETA" sheetId="47" r:id="rId11"/>
    <sheet name="QTITATIVO ELÉTRICA" sheetId="40" r:id="rId12"/>
    <sheet name="LISTA DE MAT HIDROSSAN" sheetId="30" r:id="rId13"/>
    <sheet name="QTITQTIVO ETE - ADELMO" sheetId="44" r:id="rId14"/>
    <sheet name="BDI NÃO DESONERADO" sheetId="26" r:id="rId15"/>
  </sheets>
  <externalReferences>
    <externalReference r:id="rId16"/>
    <externalReference r:id="rId17"/>
  </externalReferences>
  <definedNames>
    <definedName name="ACF">'QTITQTIVO ETE - ADELMO'!$B$22</definedName>
    <definedName name="ADELMO">'QTITQTIVO ETE - ADELMO'!$B$16</definedName>
    <definedName name="_xlnm.Print_Area" localSheetId="14">'BDI NÃO DESONERADO'!$A$1:$C$26</definedName>
    <definedName name="_xlnm.Print_Area" localSheetId="3">'COMP CIVIL'!$A$1:$F$507</definedName>
    <definedName name="_xlnm.Print_Area" localSheetId="5">'COMP ELE'!$A$1:$F$567</definedName>
    <definedName name="_xlnm.Print_Area" localSheetId="4">'COMP ESTRUT'!$A$1:$F$127</definedName>
    <definedName name="_xlnm.Print_Area" localSheetId="7">'COMP ETE'!$A$1:$F$41</definedName>
    <definedName name="_xlnm.Print_Area" localSheetId="6">'COMP HIDR'!$A$1:$F$288</definedName>
    <definedName name="_xlnm.Print_Area" localSheetId="0">'CRONOGRAMA SEM DESONERAÇÃO'!$A$1:$M$42</definedName>
    <definedName name="_xlnm.Print_Area" localSheetId="2">'PLANILHA SEM DESON'!$A$1:$I$432</definedName>
    <definedName name="_xlnm.Print_Area" localSheetId="1">'RESUMO SEM DESONERAÇÃO'!$A$1:$E$41</definedName>
    <definedName name="Cb">'QTITQTIVO ETE - ADELMO'!$B$15</definedName>
    <definedName name="Ce">'QTITQTIVO ETE - ADELMO'!$B$11</definedName>
    <definedName name="CFO">'QTITQTIVO ETE - ADELMO'!$B$12</definedName>
    <definedName name="CiFi">'QTITQTIVO ETE - ADELMO'!$B$10</definedName>
    <definedName name="CiFo">'QTITQTIVO ETE - ADELMO'!$B$9</definedName>
    <definedName name="COMP_NÃODESONERADO">[1]COMP_NÃODESONERADO!$A$1:$D$6698</definedName>
    <definedName name="Dch">'QTITQTIVO ETE - ADELMO'!$B$20</definedName>
    <definedName name="Dcs">'QTITQTIVO ETE - ADELMO'!$B$32</definedName>
    <definedName name="DIs">'QTITQTIVO ETE - ADELMO'!$B$27</definedName>
    <definedName name="Eb">'QTITQTIVO ETE - ADELMO'!$B$13</definedName>
    <definedName name="ESGOTO">'QTITQTIVO ETE - ADELMO'!$B$11</definedName>
    <definedName name="Et">'QTITQTIVO ETE - ADELMO'!$B$16</definedName>
    <definedName name="ETE">'QTITQTIVO ETE - ADELMO'!$B$7</definedName>
    <definedName name="Ets">'QTITQTIVO ETE - ADELMO'!$B$30</definedName>
    <definedName name="Hch">'QTITQTIVO ETE - ADELMO'!$B$19</definedName>
    <definedName name="Hcs">'QTITQTIVO ETE - ADELMO'!$B$31</definedName>
    <definedName name="His">'QTITQTIVO ETE - ADELMO'!$B$29</definedName>
    <definedName name="Hit">'QTITQTIVO ETE - ADELMO'!$B$12</definedName>
    <definedName name="INSNÃODES">[1]INSNÃODES!$A$1:$D$5829</definedName>
    <definedName name="KKKKKK">'QTITQTIVO ETE - ADELMO'!$B$20</definedName>
    <definedName name="Lb">'QTITQTIVO ETE - ADELMO'!$B$14</definedName>
    <definedName name="Le">'QTITQTIVO ETE - ADELMO'!$B$8</definedName>
    <definedName name="Li">'QTITQTIVO ETE - ADELMO'!$B$7</definedName>
    <definedName name="Pt">'QTITQTIVO ETE - ADELMO'!$B$21</definedName>
    <definedName name="Pts">'QTITQTIVO ETE - ADELMO'!$B$33</definedName>
  </definedNames>
  <calcPr calcId="162913"/>
</workbook>
</file>

<file path=xl/calcChain.xml><?xml version="1.0" encoding="utf-8"?>
<calcChain xmlns="http://schemas.openxmlformats.org/spreadsheetml/2006/main">
  <c r="I1340" i="46" l="1"/>
  <c r="J1340" i="46" s="1"/>
  <c r="K1340" i="46" s="1"/>
  <c r="L1340" i="46" s="1"/>
  <c r="E1340" i="46"/>
  <c r="D1236" i="46"/>
  <c r="D1235" i="46"/>
  <c r="D1237" i="46" s="1"/>
  <c r="C158" i="31" l="1"/>
  <c r="H157" i="31"/>
  <c r="D196" i="46" l="1"/>
  <c r="F56" i="35" l="1"/>
  <c r="F55" i="35"/>
  <c r="L20" i="36" l="1"/>
  <c r="H237" i="36" l="1"/>
  <c r="F237" i="36"/>
  <c r="I237" i="36" l="1"/>
  <c r="F485" i="31"/>
  <c r="F486" i="31"/>
  <c r="H317" i="31"/>
  <c r="H156" i="31"/>
  <c r="F563" i="31"/>
  <c r="F562" i="31"/>
  <c r="F559" i="31"/>
  <c r="F558" i="31"/>
  <c r="F551" i="31"/>
  <c r="F550" i="31"/>
  <c r="F547" i="31"/>
  <c r="F546" i="31"/>
  <c r="F539" i="31"/>
  <c r="F538" i="31"/>
  <c r="F535" i="31"/>
  <c r="F534" i="31"/>
  <c r="F527" i="31"/>
  <c r="F526" i="31"/>
  <c r="F523" i="31"/>
  <c r="F522" i="31"/>
  <c r="F515" i="31"/>
  <c r="F514" i="31"/>
  <c r="F511" i="31"/>
  <c r="F510" i="31"/>
  <c r="F552" i="31" l="1"/>
  <c r="F540" i="31"/>
  <c r="F528" i="31"/>
  <c r="F529" i="31" s="1"/>
  <c r="J177" i="36" s="1"/>
  <c r="F524" i="31"/>
  <c r="F516" i="31"/>
  <c r="F512" i="31"/>
  <c r="F560" i="31"/>
  <c r="F548" i="31"/>
  <c r="F564" i="31"/>
  <c r="F536" i="31"/>
  <c r="F541" i="31" s="1"/>
  <c r="J178" i="36" s="1"/>
  <c r="F565" i="31" l="1"/>
  <c r="J180" i="36" s="1"/>
  <c r="F553" i="31"/>
  <c r="J179" i="36" s="1"/>
  <c r="F517" i="31"/>
  <c r="J176" i="36" s="1"/>
  <c r="M26" i="4"/>
  <c r="B1376" i="46" l="1"/>
  <c r="D1439" i="46"/>
  <c r="F192" i="31" l="1"/>
  <c r="F193" i="31"/>
  <c r="H155" i="31"/>
  <c r="C361" i="24" l="1"/>
  <c r="G351" i="24" s="1"/>
  <c r="F385" i="36"/>
  <c r="H385" i="36"/>
  <c r="J22" i="36"/>
  <c r="B31" i="47"/>
  <c r="B25" i="47"/>
  <c r="B18" i="47"/>
  <c r="B19" i="47" s="1"/>
  <c r="B17" i="47"/>
  <c r="B12" i="47"/>
  <c r="B13" i="47" s="1"/>
  <c r="B11" i="47"/>
  <c r="B9" i="47"/>
  <c r="B6" i="47"/>
  <c r="B5" i="47"/>
  <c r="B8" i="47" s="1"/>
  <c r="B4" i="47"/>
  <c r="I385" i="36" l="1"/>
  <c r="B7" i="47"/>
  <c r="J140" i="31" l="1"/>
  <c r="C141" i="31"/>
  <c r="J139" i="31"/>
  <c r="J202" i="31"/>
  <c r="C209" i="31"/>
  <c r="J203" i="31"/>
  <c r="J207" i="31"/>
  <c r="J265" i="31" l="1"/>
  <c r="F402" i="36" l="1"/>
  <c r="H402" i="36"/>
  <c r="B25" i="2"/>
  <c r="B26" i="4" s="1"/>
  <c r="A25" i="2"/>
  <c r="A26" i="4" s="1"/>
  <c r="B24" i="2"/>
  <c r="A24" i="2"/>
  <c r="F29" i="45"/>
  <c r="F30" i="45"/>
  <c r="F31" i="45"/>
  <c r="F35" i="45"/>
  <c r="F36" i="45"/>
  <c r="F37" i="45"/>
  <c r="I402" i="36" l="1"/>
  <c r="C113" i="24"/>
  <c r="G105" i="24" s="1"/>
  <c r="F105" i="24"/>
  <c r="F106" i="24" s="1"/>
  <c r="F103" i="24"/>
  <c r="F107" i="24" l="1"/>
  <c r="J130" i="36" s="1"/>
  <c r="K133" i="36"/>
  <c r="J48" i="46" l="1"/>
  <c r="F489" i="24" l="1"/>
  <c r="F485" i="24"/>
  <c r="F488" i="24"/>
  <c r="F484" i="24"/>
  <c r="I1056" i="46"/>
  <c r="H154" i="36"/>
  <c r="F154" i="36"/>
  <c r="H152" i="36"/>
  <c r="H153" i="36"/>
  <c r="H155" i="36"/>
  <c r="F152" i="36"/>
  <c r="F153" i="36"/>
  <c r="F155" i="36"/>
  <c r="F151" i="36"/>
  <c r="H151" i="36"/>
  <c r="H146" i="36"/>
  <c r="H147" i="36"/>
  <c r="H148" i="36"/>
  <c r="H149" i="36"/>
  <c r="F146" i="36"/>
  <c r="F147" i="36"/>
  <c r="F148" i="36"/>
  <c r="F149" i="36"/>
  <c r="H145" i="36"/>
  <c r="F145" i="36"/>
  <c r="H139" i="36"/>
  <c r="H140" i="36"/>
  <c r="H141" i="36"/>
  <c r="F139" i="36"/>
  <c r="F140" i="36"/>
  <c r="F141" i="36"/>
  <c r="F486" i="24" l="1"/>
  <c r="I140" i="36"/>
  <c r="F490" i="24"/>
  <c r="I139" i="36"/>
  <c r="I141" i="36"/>
  <c r="I154" i="36"/>
  <c r="I151" i="36"/>
  <c r="I145" i="36"/>
  <c r="I146" i="36"/>
  <c r="I153" i="36"/>
  <c r="I155" i="36"/>
  <c r="I152" i="36"/>
  <c r="I149" i="36"/>
  <c r="I148" i="36"/>
  <c r="I147" i="36"/>
  <c r="D1440" i="46"/>
  <c r="D1441" i="46" s="1"/>
  <c r="D1433" i="46"/>
  <c r="B1415" i="46"/>
  <c r="E1415" i="46" s="1"/>
  <c r="E1416" i="46" s="1"/>
  <c r="B1408" i="46"/>
  <c r="E1408" i="46" s="1"/>
  <c r="B1407" i="46"/>
  <c r="E1407" i="46" s="1"/>
  <c r="B1400" i="46"/>
  <c r="E1400" i="46" s="1"/>
  <c r="B1399" i="46"/>
  <c r="E1399" i="46" s="1"/>
  <c r="B1392" i="46"/>
  <c r="E1392" i="46" s="1"/>
  <c r="B1391" i="46"/>
  <c r="E1391" i="46" s="1"/>
  <c r="B1384" i="46"/>
  <c r="E1384" i="46" s="1"/>
  <c r="B1383" i="46"/>
  <c r="E1383" i="46" s="1"/>
  <c r="E1376" i="46"/>
  <c r="E1377" i="46" s="1"/>
  <c r="I1370" i="46"/>
  <c r="B1370" i="46"/>
  <c r="C1369" i="46"/>
  <c r="D1369" i="46" s="1"/>
  <c r="C1368" i="46"/>
  <c r="D1368" i="46" s="1"/>
  <c r="C1361" i="46"/>
  <c r="D1361" i="46" s="1"/>
  <c r="D1362" i="46" s="1"/>
  <c r="D1354" i="46"/>
  <c r="D1355" i="46" s="1"/>
  <c r="D1348" i="46"/>
  <c r="B1340" i="46"/>
  <c r="B1333" i="46"/>
  <c r="E1333" i="46" s="1"/>
  <c r="D1332" i="46"/>
  <c r="B1332" i="46"/>
  <c r="B1325" i="46"/>
  <c r="E1325" i="46" s="1"/>
  <c r="D1324" i="46"/>
  <c r="B1324" i="46"/>
  <c r="B1317" i="46"/>
  <c r="E1317" i="46" s="1"/>
  <c r="D1316" i="46"/>
  <c r="B1316" i="46"/>
  <c r="B1309" i="46"/>
  <c r="E1309" i="46" s="1"/>
  <c r="D1308" i="46"/>
  <c r="B1308" i="46"/>
  <c r="B1301" i="46"/>
  <c r="E1301" i="46" s="1"/>
  <c r="D1300" i="46"/>
  <c r="B1300" i="46"/>
  <c r="D1293" i="46"/>
  <c r="E1293" i="46" s="1"/>
  <c r="E1294" i="46" s="1"/>
  <c r="B1293" i="46"/>
  <c r="B1286" i="46"/>
  <c r="B1279" i="46"/>
  <c r="D1271" i="46"/>
  <c r="D1272" i="46" s="1"/>
  <c r="C1264" i="46"/>
  <c r="D1264" i="46" s="1"/>
  <c r="D1265" i="46" s="1"/>
  <c r="C1257" i="46"/>
  <c r="D1257" i="46" s="1"/>
  <c r="D1258" i="46" s="1"/>
  <c r="D1250" i="46"/>
  <c r="D1251" i="46" s="1"/>
  <c r="C1243" i="46"/>
  <c r="D1243" i="46" s="1"/>
  <c r="D1244" i="46" s="1"/>
  <c r="E1237" i="46"/>
  <c r="B1216" i="46"/>
  <c r="B1208" i="46"/>
  <c r="C1204" i="46"/>
  <c r="B1198" i="46"/>
  <c r="B1185" i="46"/>
  <c r="B1171" i="46"/>
  <c r="B1158" i="46"/>
  <c r="B1150" i="46"/>
  <c r="B1142" i="46"/>
  <c r="B1133" i="46"/>
  <c r="B1126" i="46"/>
  <c r="B1118" i="46"/>
  <c r="B1110" i="46"/>
  <c r="B1102" i="46"/>
  <c r="B1092" i="46"/>
  <c r="B1084" i="46"/>
  <c r="D1073" i="46"/>
  <c r="D1072" i="46"/>
  <c r="D1071" i="46"/>
  <c r="D1070" i="46"/>
  <c r="D1063" i="46"/>
  <c r="D1064" i="46" s="1"/>
  <c r="D1056" i="46"/>
  <c r="D1057" i="46" s="1"/>
  <c r="C1056" i="46"/>
  <c r="B1040" i="46"/>
  <c r="D1040" i="46" s="1"/>
  <c r="G1040" i="46" s="1"/>
  <c r="D1039" i="46"/>
  <c r="G1039" i="46" s="1"/>
  <c r="D1038" i="46"/>
  <c r="G1038" i="46" s="1"/>
  <c r="F1037" i="46"/>
  <c r="D1037" i="46"/>
  <c r="D1036" i="46"/>
  <c r="G1036" i="46" s="1"/>
  <c r="F1035" i="46"/>
  <c r="B1035" i="46"/>
  <c r="D1035" i="46" s="1"/>
  <c r="F1034" i="46"/>
  <c r="B1034" i="46"/>
  <c r="D1034" i="46" s="1"/>
  <c r="D1031" i="46"/>
  <c r="G1031" i="46" s="1"/>
  <c r="B1030" i="46"/>
  <c r="D1030" i="46" s="1"/>
  <c r="G1030" i="46" s="1"/>
  <c r="B1029" i="46"/>
  <c r="D1029" i="46" s="1"/>
  <c r="G1029" i="46" s="1"/>
  <c r="D1028" i="46"/>
  <c r="G1028" i="46" s="1"/>
  <c r="D1027" i="46"/>
  <c r="G1027" i="46" s="1"/>
  <c r="F1026" i="46"/>
  <c r="D1026" i="46"/>
  <c r="D1025" i="46"/>
  <c r="G1025" i="46" s="1"/>
  <c r="D1024" i="46"/>
  <c r="G1024" i="46" s="1"/>
  <c r="B1021" i="46"/>
  <c r="D1021" i="46" s="1"/>
  <c r="G1021" i="46" s="1"/>
  <c r="B1020" i="46"/>
  <c r="D1020" i="46" s="1"/>
  <c r="G1020" i="46" s="1"/>
  <c r="B1019" i="46"/>
  <c r="D1019" i="46" s="1"/>
  <c r="G1019" i="46" s="1"/>
  <c r="B1018" i="46"/>
  <c r="D1018" i="46" s="1"/>
  <c r="G1018" i="46" s="1"/>
  <c r="B1017" i="46"/>
  <c r="D1017" i="46" s="1"/>
  <c r="G1017" i="46" s="1"/>
  <c r="B1016" i="46"/>
  <c r="D1016" i="46" s="1"/>
  <c r="G1016" i="46" s="1"/>
  <c r="B1000" i="46"/>
  <c r="D1000" i="46" s="1"/>
  <c r="G1000" i="46" s="1"/>
  <c r="D999" i="46"/>
  <c r="G999" i="46" s="1"/>
  <c r="D998" i="46"/>
  <c r="G998" i="46" s="1"/>
  <c r="F997" i="46"/>
  <c r="D997" i="46"/>
  <c r="D996" i="46"/>
  <c r="G996" i="46" s="1"/>
  <c r="F995" i="46"/>
  <c r="B995" i="46"/>
  <c r="D995" i="46" s="1"/>
  <c r="F994" i="46"/>
  <c r="B994" i="46"/>
  <c r="D994" i="46" s="1"/>
  <c r="D991" i="46"/>
  <c r="G991" i="46" s="1"/>
  <c r="B990" i="46"/>
  <c r="D990" i="46" s="1"/>
  <c r="G990" i="46" s="1"/>
  <c r="B989" i="46"/>
  <c r="D989" i="46" s="1"/>
  <c r="G989" i="46" s="1"/>
  <c r="D988" i="46"/>
  <c r="G988" i="46" s="1"/>
  <c r="D987" i="46"/>
  <c r="G987" i="46" s="1"/>
  <c r="F986" i="46"/>
  <c r="D986" i="46"/>
  <c r="D985" i="46"/>
  <c r="G985" i="46" s="1"/>
  <c r="D984" i="46"/>
  <c r="G984" i="46" s="1"/>
  <c r="B981" i="46"/>
  <c r="D981" i="46" s="1"/>
  <c r="G981" i="46" s="1"/>
  <c r="B980" i="46"/>
  <c r="D980" i="46" s="1"/>
  <c r="G980" i="46" s="1"/>
  <c r="B979" i="46"/>
  <c r="D979" i="46" s="1"/>
  <c r="G979" i="46" s="1"/>
  <c r="B978" i="46"/>
  <c r="D978" i="46" s="1"/>
  <c r="G978" i="46" s="1"/>
  <c r="B977" i="46"/>
  <c r="D977" i="46" s="1"/>
  <c r="G977" i="46" s="1"/>
  <c r="B976" i="46"/>
  <c r="D976" i="46" s="1"/>
  <c r="G976" i="46" s="1"/>
  <c r="D969" i="46"/>
  <c r="D950" i="46"/>
  <c r="D930" i="46"/>
  <c r="D931" i="46" s="1"/>
  <c r="I950" i="46" s="1"/>
  <c r="C930" i="46"/>
  <c r="F901" i="46"/>
  <c r="D901" i="46"/>
  <c r="D900" i="46"/>
  <c r="G900" i="46" s="1"/>
  <c r="D899" i="46"/>
  <c r="G899" i="46" s="1"/>
  <c r="D898" i="46"/>
  <c r="G898" i="46" s="1"/>
  <c r="F897" i="46"/>
  <c r="D897" i="46"/>
  <c r="B896" i="46"/>
  <c r="D896" i="46" s="1"/>
  <c r="G896" i="46" s="1"/>
  <c r="F895" i="46"/>
  <c r="B895" i="46"/>
  <c r="D895" i="46" s="1"/>
  <c r="B894" i="46"/>
  <c r="D894" i="46" s="1"/>
  <c r="G894" i="46" s="1"/>
  <c r="F893" i="46"/>
  <c r="B893" i="46"/>
  <c r="D893" i="46" s="1"/>
  <c r="D890" i="46"/>
  <c r="G890" i="46" s="1"/>
  <c r="F889" i="46"/>
  <c r="B889" i="46"/>
  <c r="D889" i="46" s="1"/>
  <c r="D888" i="46"/>
  <c r="G888" i="46" s="1"/>
  <c r="F887" i="46"/>
  <c r="B887" i="46"/>
  <c r="D887" i="46" s="1"/>
  <c r="F886" i="46"/>
  <c r="D886" i="46"/>
  <c r="B885" i="46"/>
  <c r="D885" i="46" s="1"/>
  <c r="G885" i="46" s="1"/>
  <c r="F884" i="46"/>
  <c r="D884" i="46"/>
  <c r="D883" i="46"/>
  <c r="G883" i="46" s="1"/>
  <c r="F882" i="46"/>
  <c r="D882" i="46"/>
  <c r="B881" i="46"/>
  <c r="D881" i="46" s="1"/>
  <c r="G881" i="46" s="1"/>
  <c r="F880" i="46"/>
  <c r="B880" i="46"/>
  <c r="D880" i="46" s="1"/>
  <c r="F879" i="46"/>
  <c r="D879" i="46"/>
  <c r="B876" i="46"/>
  <c r="D876" i="46" s="1"/>
  <c r="G876" i="46" s="1"/>
  <c r="B875" i="46"/>
  <c r="D875" i="46" s="1"/>
  <c r="G875" i="46" s="1"/>
  <c r="B874" i="46"/>
  <c r="D874" i="46" s="1"/>
  <c r="G874" i="46" s="1"/>
  <c r="B873" i="46"/>
  <c r="D873" i="46" s="1"/>
  <c r="G873" i="46" s="1"/>
  <c r="B872" i="46"/>
  <c r="D872" i="46" s="1"/>
  <c r="G872" i="46" s="1"/>
  <c r="B871" i="46"/>
  <c r="D871" i="46" s="1"/>
  <c r="G871" i="46" s="1"/>
  <c r="F870" i="46"/>
  <c r="D870" i="46"/>
  <c r="D869" i="46"/>
  <c r="G869" i="46" s="1"/>
  <c r="F853" i="46"/>
  <c r="D853" i="46"/>
  <c r="D852" i="46"/>
  <c r="G852" i="46" s="1"/>
  <c r="D851" i="46"/>
  <c r="G851" i="46" s="1"/>
  <c r="D850" i="46"/>
  <c r="G850" i="46" s="1"/>
  <c r="F849" i="46"/>
  <c r="D849" i="46"/>
  <c r="B848" i="46"/>
  <c r="D848" i="46" s="1"/>
  <c r="G848" i="46" s="1"/>
  <c r="F847" i="46"/>
  <c r="B847" i="46"/>
  <c r="D847" i="46" s="1"/>
  <c r="B846" i="46"/>
  <c r="D846" i="46" s="1"/>
  <c r="G846" i="46" s="1"/>
  <c r="F845" i="46"/>
  <c r="B845" i="46"/>
  <c r="D845" i="46" s="1"/>
  <c r="D842" i="46"/>
  <c r="G842" i="46" s="1"/>
  <c r="F841" i="46"/>
  <c r="B841" i="46"/>
  <c r="D841" i="46" s="1"/>
  <c r="D840" i="46"/>
  <c r="G840" i="46" s="1"/>
  <c r="F839" i="46"/>
  <c r="B839" i="46"/>
  <c r="D839" i="46" s="1"/>
  <c r="F838" i="46"/>
  <c r="D838" i="46"/>
  <c r="B837" i="46"/>
  <c r="D837" i="46" s="1"/>
  <c r="G837" i="46" s="1"/>
  <c r="F836" i="46"/>
  <c r="D836" i="46"/>
  <c r="D835" i="46"/>
  <c r="G835" i="46" s="1"/>
  <c r="F834" i="46"/>
  <c r="D834" i="46"/>
  <c r="B833" i="46"/>
  <c r="D833" i="46" s="1"/>
  <c r="G833" i="46" s="1"/>
  <c r="F832" i="46"/>
  <c r="B832" i="46"/>
  <c r="D832" i="46" s="1"/>
  <c r="F831" i="46"/>
  <c r="D831" i="46"/>
  <c r="B828" i="46"/>
  <c r="D828" i="46" s="1"/>
  <c r="G828" i="46" s="1"/>
  <c r="B827" i="46"/>
  <c r="D827" i="46" s="1"/>
  <c r="G827" i="46" s="1"/>
  <c r="B826" i="46"/>
  <c r="D826" i="46" s="1"/>
  <c r="G826" i="46" s="1"/>
  <c r="B825" i="46"/>
  <c r="D825" i="46" s="1"/>
  <c r="G825" i="46" s="1"/>
  <c r="B824" i="46"/>
  <c r="D824" i="46" s="1"/>
  <c r="G824" i="46" s="1"/>
  <c r="B823" i="46"/>
  <c r="D823" i="46" s="1"/>
  <c r="G823" i="46" s="1"/>
  <c r="F822" i="46"/>
  <c r="D822" i="46"/>
  <c r="D821" i="46"/>
  <c r="G821" i="46" s="1"/>
  <c r="F805" i="46"/>
  <c r="D805" i="46"/>
  <c r="D804" i="46"/>
  <c r="G804" i="46" s="1"/>
  <c r="D803" i="46"/>
  <c r="G803" i="46" s="1"/>
  <c r="D802" i="46"/>
  <c r="G802" i="46" s="1"/>
  <c r="F801" i="46"/>
  <c r="D801" i="46"/>
  <c r="B800" i="46"/>
  <c r="D800" i="46" s="1"/>
  <c r="G800" i="46" s="1"/>
  <c r="F799" i="46"/>
  <c r="B799" i="46"/>
  <c r="D799" i="46" s="1"/>
  <c r="B798" i="46"/>
  <c r="D798" i="46" s="1"/>
  <c r="G798" i="46" s="1"/>
  <c r="F797" i="46"/>
  <c r="B797" i="46"/>
  <c r="D797" i="46" s="1"/>
  <c r="D794" i="46"/>
  <c r="G794" i="46" s="1"/>
  <c r="F793" i="46"/>
  <c r="B793" i="46"/>
  <c r="D793" i="46" s="1"/>
  <c r="D792" i="46"/>
  <c r="G792" i="46" s="1"/>
  <c r="F791" i="46"/>
  <c r="B791" i="46"/>
  <c r="D791" i="46" s="1"/>
  <c r="F790" i="46"/>
  <c r="D790" i="46"/>
  <c r="B789" i="46"/>
  <c r="D789" i="46" s="1"/>
  <c r="G789" i="46" s="1"/>
  <c r="F788" i="46"/>
  <c r="D788" i="46"/>
  <c r="D787" i="46"/>
  <c r="G787" i="46" s="1"/>
  <c r="F786" i="46"/>
  <c r="D786" i="46"/>
  <c r="B785" i="46"/>
  <c r="D785" i="46" s="1"/>
  <c r="G785" i="46" s="1"/>
  <c r="F784" i="46"/>
  <c r="B784" i="46"/>
  <c r="D784" i="46" s="1"/>
  <c r="F783" i="46"/>
  <c r="D783" i="46"/>
  <c r="B780" i="46"/>
  <c r="D780" i="46" s="1"/>
  <c r="G780" i="46" s="1"/>
  <c r="B779" i="46"/>
  <c r="D779" i="46" s="1"/>
  <c r="G779" i="46" s="1"/>
  <c r="B778" i="46"/>
  <c r="D778" i="46" s="1"/>
  <c r="G778" i="46" s="1"/>
  <c r="B777" i="46"/>
  <c r="D777" i="46" s="1"/>
  <c r="G777" i="46" s="1"/>
  <c r="B776" i="46"/>
  <c r="D776" i="46" s="1"/>
  <c r="G776" i="46" s="1"/>
  <c r="B775" i="46"/>
  <c r="D775" i="46" s="1"/>
  <c r="G775" i="46" s="1"/>
  <c r="F774" i="46"/>
  <c r="D774" i="46"/>
  <c r="D773" i="46"/>
  <c r="G773" i="46" s="1"/>
  <c r="D764" i="46"/>
  <c r="E764" i="46" s="1"/>
  <c r="E765" i="46" s="1"/>
  <c r="D761" i="46"/>
  <c r="E761" i="46" s="1"/>
  <c r="E762" i="46" s="1"/>
  <c r="E754" i="46"/>
  <c r="D754" i="46"/>
  <c r="E747" i="46"/>
  <c r="D747" i="46"/>
  <c r="F739" i="46"/>
  <c r="D739" i="46"/>
  <c r="F738" i="46"/>
  <c r="D738" i="46"/>
  <c r="J728" i="46"/>
  <c r="I728" i="46"/>
  <c r="E728" i="46"/>
  <c r="D731" i="46" s="1"/>
  <c r="D721" i="46"/>
  <c r="D720" i="46"/>
  <c r="D719" i="46"/>
  <c r="D712" i="46"/>
  <c r="D711" i="46"/>
  <c r="D710" i="46"/>
  <c r="D703" i="46"/>
  <c r="D704" i="46" s="1"/>
  <c r="D696" i="46"/>
  <c r="I695" i="46"/>
  <c r="D695" i="46"/>
  <c r="D694" i="46"/>
  <c r="D693" i="46"/>
  <c r="D685" i="46"/>
  <c r="I684" i="46"/>
  <c r="D684" i="46"/>
  <c r="D683" i="46"/>
  <c r="D682" i="46"/>
  <c r="D675" i="46"/>
  <c r="D657" i="46"/>
  <c r="D630" i="46"/>
  <c r="G630" i="46" s="1"/>
  <c r="F629" i="46"/>
  <c r="B629" i="46"/>
  <c r="D629" i="46" s="1"/>
  <c r="F628" i="46"/>
  <c r="B628" i="46"/>
  <c r="D628" i="46" s="1"/>
  <c r="D625" i="46"/>
  <c r="G625" i="46" s="1"/>
  <c r="D624" i="46"/>
  <c r="G624" i="46" s="1"/>
  <c r="D621" i="46"/>
  <c r="G621" i="46" s="1"/>
  <c r="D620" i="46"/>
  <c r="G620" i="46" s="1"/>
  <c r="B604" i="46"/>
  <c r="D604" i="46" s="1"/>
  <c r="G604" i="46" s="1"/>
  <c r="D603" i="46"/>
  <c r="G603" i="46" s="1"/>
  <c r="D602" i="46"/>
  <c r="G602" i="46" s="1"/>
  <c r="F601" i="46"/>
  <c r="D601" i="46"/>
  <c r="D600" i="46"/>
  <c r="G600" i="46" s="1"/>
  <c r="F599" i="46"/>
  <c r="B599" i="46"/>
  <c r="D599" i="46" s="1"/>
  <c r="F598" i="46"/>
  <c r="B598" i="46"/>
  <c r="D598" i="46" s="1"/>
  <c r="D595" i="46"/>
  <c r="G595" i="46" s="1"/>
  <c r="B594" i="46"/>
  <c r="D594" i="46" s="1"/>
  <c r="G594" i="46" s="1"/>
  <c r="B593" i="46"/>
  <c r="D593" i="46" s="1"/>
  <c r="G593" i="46" s="1"/>
  <c r="D592" i="46"/>
  <c r="G592" i="46" s="1"/>
  <c r="D591" i="46"/>
  <c r="G591" i="46" s="1"/>
  <c r="F590" i="46"/>
  <c r="D590" i="46"/>
  <c r="D589" i="46"/>
  <c r="G589" i="46" s="1"/>
  <c r="D588" i="46"/>
  <c r="G588" i="46" s="1"/>
  <c r="B585" i="46"/>
  <c r="D585" i="46" s="1"/>
  <c r="G585" i="46" s="1"/>
  <c r="B584" i="46"/>
  <c r="D584" i="46" s="1"/>
  <c r="G584" i="46" s="1"/>
  <c r="B583" i="46"/>
  <c r="D583" i="46" s="1"/>
  <c r="G583" i="46" s="1"/>
  <c r="B582" i="46"/>
  <c r="D582" i="46" s="1"/>
  <c r="G582" i="46" s="1"/>
  <c r="B581" i="46"/>
  <c r="D581" i="46" s="1"/>
  <c r="G581" i="46" s="1"/>
  <c r="B580" i="46"/>
  <c r="D580" i="46" s="1"/>
  <c r="G580" i="46" s="1"/>
  <c r="D564" i="46"/>
  <c r="G564" i="46" s="1"/>
  <c r="F563" i="46"/>
  <c r="B563" i="46"/>
  <c r="D563" i="46" s="1"/>
  <c r="F562" i="46"/>
  <c r="B562" i="46"/>
  <c r="D562" i="46" s="1"/>
  <c r="D559" i="46"/>
  <c r="G559" i="46" s="1"/>
  <c r="D558" i="46"/>
  <c r="G558" i="46" s="1"/>
  <c r="D555" i="46"/>
  <c r="G555" i="46" s="1"/>
  <c r="D554" i="46"/>
  <c r="G554" i="46" s="1"/>
  <c r="B538" i="46"/>
  <c r="D538" i="46" s="1"/>
  <c r="G538" i="46" s="1"/>
  <c r="D537" i="46"/>
  <c r="G537" i="46" s="1"/>
  <c r="D536" i="46"/>
  <c r="G536" i="46" s="1"/>
  <c r="F535" i="46"/>
  <c r="D535" i="46"/>
  <c r="D534" i="46"/>
  <c r="G534" i="46" s="1"/>
  <c r="F533" i="46"/>
  <c r="B533" i="46"/>
  <c r="D533" i="46" s="1"/>
  <c r="D532" i="46"/>
  <c r="G532" i="46" s="1"/>
  <c r="F531" i="46"/>
  <c r="B531" i="46"/>
  <c r="D531" i="46" s="1"/>
  <c r="F530" i="46"/>
  <c r="B530" i="46"/>
  <c r="D530" i="46" s="1"/>
  <c r="D527" i="46"/>
  <c r="G527" i="46" s="1"/>
  <c r="B526" i="46"/>
  <c r="D526" i="46" s="1"/>
  <c r="G526" i="46" s="1"/>
  <c r="D525" i="46"/>
  <c r="G525" i="46" s="1"/>
  <c r="B524" i="46"/>
  <c r="D524" i="46" s="1"/>
  <c r="G524" i="46" s="1"/>
  <c r="D523" i="46"/>
  <c r="G523" i="46" s="1"/>
  <c r="D522" i="46"/>
  <c r="G522" i="46" s="1"/>
  <c r="F521" i="46"/>
  <c r="D521" i="46"/>
  <c r="D520" i="46"/>
  <c r="G520" i="46" s="1"/>
  <c r="D519" i="46"/>
  <c r="G519" i="46" s="1"/>
  <c r="D518" i="46"/>
  <c r="G518" i="46" s="1"/>
  <c r="B515" i="46"/>
  <c r="D515" i="46" s="1"/>
  <c r="G515" i="46" s="1"/>
  <c r="B514" i="46"/>
  <c r="D514" i="46" s="1"/>
  <c r="G514" i="46" s="1"/>
  <c r="B513" i="46"/>
  <c r="D513" i="46" s="1"/>
  <c r="G513" i="46" s="1"/>
  <c r="B512" i="46"/>
  <c r="D512" i="46" s="1"/>
  <c r="G512" i="46" s="1"/>
  <c r="B511" i="46"/>
  <c r="D511" i="46" s="1"/>
  <c r="G511" i="46" s="1"/>
  <c r="B510" i="46"/>
  <c r="D510" i="46" s="1"/>
  <c r="G510" i="46" s="1"/>
  <c r="D509" i="46"/>
  <c r="G509" i="46" s="1"/>
  <c r="D508" i="46"/>
  <c r="G508" i="46" s="1"/>
  <c r="D494" i="46"/>
  <c r="G494" i="46" s="1"/>
  <c r="F493" i="46"/>
  <c r="D493" i="46"/>
  <c r="D492" i="46"/>
  <c r="G492" i="46" s="1"/>
  <c r="D491" i="46"/>
  <c r="G491" i="46" s="1"/>
  <c r="F488" i="46"/>
  <c r="D488" i="46"/>
  <c r="B488" i="46"/>
  <c r="F487" i="46"/>
  <c r="D487" i="46"/>
  <c r="B487" i="46"/>
  <c r="F486" i="46"/>
  <c r="D486" i="46"/>
  <c r="B485" i="46"/>
  <c r="D485" i="46" s="1"/>
  <c r="G485" i="46" s="1"/>
  <c r="F484" i="46"/>
  <c r="B484" i="46"/>
  <c r="D484" i="46" s="1"/>
  <c r="B483" i="46"/>
  <c r="D483" i="46" s="1"/>
  <c r="G483" i="46" s="1"/>
  <c r="F482" i="46"/>
  <c r="B482" i="46"/>
  <c r="D482" i="46" s="1"/>
  <c r="B481" i="46"/>
  <c r="D481" i="46" s="1"/>
  <c r="G481" i="46" s="1"/>
  <c r="F480" i="46"/>
  <c r="B480" i="46"/>
  <c r="D480" i="46" s="1"/>
  <c r="D466" i="46"/>
  <c r="G466" i="46" s="1"/>
  <c r="F465" i="46"/>
  <c r="D465" i="46"/>
  <c r="D464" i="46"/>
  <c r="G464" i="46" s="1"/>
  <c r="D463" i="46"/>
  <c r="G463" i="46" s="1"/>
  <c r="F460" i="46"/>
  <c r="D460" i="46"/>
  <c r="B460" i="46"/>
  <c r="F459" i="46"/>
  <c r="D459" i="46"/>
  <c r="B459" i="46"/>
  <c r="F458" i="46"/>
  <c r="D458" i="46"/>
  <c r="B457" i="46"/>
  <c r="D457" i="46" s="1"/>
  <c r="G457" i="46" s="1"/>
  <c r="F456" i="46"/>
  <c r="B456" i="46"/>
  <c r="D456" i="46" s="1"/>
  <c r="B455" i="46"/>
  <c r="D455" i="46" s="1"/>
  <c r="G455" i="46" s="1"/>
  <c r="F454" i="46"/>
  <c r="B454" i="46"/>
  <c r="D454" i="46" s="1"/>
  <c r="B453" i="46"/>
  <c r="D453" i="46" s="1"/>
  <c r="G453" i="46" s="1"/>
  <c r="F452" i="46"/>
  <c r="B452" i="46"/>
  <c r="D452" i="46" s="1"/>
  <c r="F436" i="46"/>
  <c r="D436" i="46"/>
  <c r="D435" i="46"/>
  <c r="G435" i="46" s="1"/>
  <c r="D434" i="46"/>
  <c r="G434" i="46" s="1"/>
  <c r="D433" i="46"/>
  <c r="G433" i="46" s="1"/>
  <c r="F432" i="46"/>
  <c r="D432" i="46"/>
  <c r="B431" i="46"/>
  <c r="D431" i="46" s="1"/>
  <c r="G431" i="46" s="1"/>
  <c r="F430" i="46"/>
  <c r="B430" i="46"/>
  <c r="D430" i="46" s="1"/>
  <c r="B429" i="46"/>
  <c r="D429" i="46" s="1"/>
  <c r="G429" i="46" s="1"/>
  <c r="F428" i="46"/>
  <c r="B428" i="46"/>
  <c r="D428" i="46" s="1"/>
  <c r="D425" i="46"/>
  <c r="G425" i="46" s="1"/>
  <c r="F424" i="46"/>
  <c r="B424" i="46"/>
  <c r="D424" i="46" s="1"/>
  <c r="D423" i="46"/>
  <c r="G423" i="46" s="1"/>
  <c r="F422" i="46"/>
  <c r="B422" i="46"/>
  <c r="D422" i="46" s="1"/>
  <c r="F421" i="46"/>
  <c r="D421" i="46"/>
  <c r="B420" i="46"/>
  <c r="D420" i="46" s="1"/>
  <c r="G420" i="46" s="1"/>
  <c r="F419" i="46"/>
  <c r="D419" i="46"/>
  <c r="D418" i="46"/>
  <c r="G418" i="46" s="1"/>
  <c r="F417" i="46"/>
  <c r="D417" i="46"/>
  <c r="B416" i="46"/>
  <c r="D416" i="46" s="1"/>
  <c r="G416" i="46" s="1"/>
  <c r="F415" i="46"/>
  <c r="B415" i="46"/>
  <c r="D415" i="46" s="1"/>
  <c r="F414" i="46"/>
  <c r="D414" i="46"/>
  <c r="B411" i="46"/>
  <c r="D411" i="46" s="1"/>
  <c r="G411" i="46" s="1"/>
  <c r="B410" i="46"/>
  <c r="D410" i="46" s="1"/>
  <c r="G410" i="46" s="1"/>
  <c r="F409" i="46"/>
  <c r="B409" i="46"/>
  <c r="D409" i="46" s="1"/>
  <c r="F408" i="46"/>
  <c r="B408" i="46"/>
  <c r="D408" i="46" s="1"/>
  <c r="B407" i="46"/>
  <c r="D407" i="46" s="1"/>
  <c r="G407" i="46" s="1"/>
  <c r="B406" i="46"/>
  <c r="D406" i="46" s="1"/>
  <c r="G406" i="46" s="1"/>
  <c r="F405" i="46"/>
  <c r="D405" i="46"/>
  <c r="D404" i="46"/>
  <c r="G404" i="46" s="1"/>
  <c r="F388" i="46"/>
  <c r="D388" i="46"/>
  <c r="D387" i="46"/>
  <c r="G387" i="46" s="1"/>
  <c r="D386" i="46"/>
  <c r="G386" i="46" s="1"/>
  <c r="D385" i="46"/>
  <c r="G385" i="46" s="1"/>
  <c r="F384" i="46"/>
  <c r="D384" i="46"/>
  <c r="B383" i="46"/>
  <c r="D383" i="46" s="1"/>
  <c r="G383" i="46" s="1"/>
  <c r="F382" i="46"/>
  <c r="B382" i="46"/>
  <c r="D382" i="46" s="1"/>
  <c r="B381" i="46"/>
  <c r="D381" i="46" s="1"/>
  <c r="G381" i="46" s="1"/>
  <c r="F380" i="46"/>
  <c r="B380" i="46"/>
  <c r="D380" i="46" s="1"/>
  <c r="D377" i="46"/>
  <c r="G377" i="46" s="1"/>
  <c r="F376" i="46"/>
  <c r="B376" i="46"/>
  <c r="D376" i="46" s="1"/>
  <c r="D375" i="46"/>
  <c r="G375" i="46" s="1"/>
  <c r="F374" i="46"/>
  <c r="B374" i="46"/>
  <c r="D374" i="46" s="1"/>
  <c r="F373" i="46"/>
  <c r="D373" i="46"/>
  <c r="B372" i="46"/>
  <c r="D372" i="46" s="1"/>
  <c r="G372" i="46" s="1"/>
  <c r="F371" i="46"/>
  <c r="D371" i="46"/>
  <c r="D370" i="46"/>
  <c r="G370" i="46" s="1"/>
  <c r="F369" i="46"/>
  <c r="D369" i="46"/>
  <c r="B368" i="46"/>
  <c r="D368" i="46" s="1"/>
  <c r="G368" i="46" s="1"/>
  <c r="F367" i="46"/>
  <c r="B367" i="46"/>
  <c r="D367" i="46" s="1"/>
  <c r="F366" i="46"/>
  <c r="D366" i="46"/>
  <c r="B363" i="46"/>
  <c r="D363" i="46" s="1"/>
  <c r="G363" i="46" s="1"/>
  <c r="B362" i="46"/>
  <c r="D362" i="46" s="1"/>
  <c r="G362" i="46" s="1"/>
  <c r="F361" i="46"/>
  <c r="B361" i="46"/>
  <c r="D361" i="46" s="1"/>
  <c r="F360" i="46"/>
  <c r="B360" i="46"/>
  <c r="D360" i="46" s="1"/>
  <c r="B359" i="46"/>
  <c r="D359" i="46" s="1"/>
  <c r="G359" i="46" s="1"/>
  <c r="B358" i="46"/>
  <c r="D358" i="46" s="1"/>
  <c r="G358" i="46" s="1"/>
  <c r="F357" i="46"/>
  <c r="D357" i="46"/>
  <c r="D356" i="46"/>
  <c r="G356" i="46" s="1"/>
  <c r="E335" i="46"/>
  <c r="E334" i="46"/>
  <c r="E333" i="46"/>
  <c r="B327" i="46"/>
  <c r="D327" i="46" s="1"/>
  <c r="E320" i="46"/>
  <c r="E319" i="46"/>
  <c r="E318" i="46"/>
  <c r="E317" i="46"/>
  <c r="D310" i="46"/>
  <c r="F310" i="46" s="1"/>
  <c r="G311" i="46" s="1"/>
  <c r="D303" i="46"/>
  <c r="F303" i="46" s="1"/>
  <c r="G304" i="46" s="1"/>
  <c r="D296" i="46"/>
  <c r="F296" i="46" s="1"/>
  <c r="G297" i="46" s="1"/>
  <c r="D289" i="46"/>
  <c r="F289" i="46" s="1"/>
  <c r="G290" i="46" s="1"/>
  <c r="D282" i="46"/>
  <c r="F282" i="46" s="1"/>
  <c r="G283" i="46" s="1"/>
  <c r="D275" i="46"/>
  <c r="F275" i="46" s="1"/>
  <c r="G276" i="46" s="1"/>
  <c r="D268" i="46"/>
  <c r="F268" i="46" s="1"/>
  <c r="G269" i="46" s="1"/>
  <c r="D261" i="46"/>
  <c r="F261" i="46" s="1"/>
  <c r="G262" i="46" s="1"/>
  <c r="D254" i="46"/>
  <c r="F254" i="46" s="1"/>
  <c r="G255" i="46" s="1"/>
  <c r="D247" i="46"/>
  <c r="F247" i="46" s="1"/>
  <c r="G248" i="46" s="1"/>
  <c r="D240" i="46"/>
  <c r="F240" i="46" s="1"/>
  <c r="G241" i="46" s="1"/>
  <c r="D233" i="46"/>
  <c r="F233" i="46" s="1"/>
  <c r="G234" i="46" s="1"/>
  <c r="D226" i="46"/>
  <c r="F226" i="46" s="1"/>
  <c r="G227" i="46" s="1"/>
  <c r="D219" i="46"/>
  <c r="F219" i="46" s="1"/>
  <c r="G220" i="46" s="1"/>
  <c r="C188" i="46"/>
  <c r="D174" i="46"/>
  <c r="D173" i="46"/>
  <c r="D172" i="46"/>
  <c r="D171" i="46"/>
  <c r="D164" i="46"/>
  <c r="D163" i="46"/>
  <c r="D162" i="46"/>
  <c r="D161" i="46"/>
  <c r="D160" i="46"/>
  <c r="D159" i="46"/>
  <c r="D158" i="46"/>
  <c r="D151" i="46"/>
  <c r="D150" i="46"/>
  <c r="D149" i="46"/>
  <c r="D148" i="46"/>
  <c r="D138" i="46"/>
  <c r="D142" i="46" s="1"/>
  <c r="F122" i="46"/>
  <c r="D122" i="46"/>
  <c r="F121" i="46"/>
  <c r="D121" i="46"/>
  <c r="F120" i="46"/>
  <c r="D120" i="46"/>
  <c r="F119" i="46"/>
  <c r="D119" i="46"/>
  <c r="B117" i="46"/>
  <c r="D117" i="46" s="1"/>
  <c r="G117" i="46" s="1"/>
  <c r="B116" i="46"/>
  <c r="D116" i="46" s="1"/>
  <c r="G116" i="46" s="1"/>
  <c r="B115" i="46"/>
  <c r="D115" i="46" s="1"/>
  <c r="G115" i="46" s="1"/>
  <c r="D114" i="46"/>
  <c r="G114" i="46" s="1"/>
  <c r="B113" i="46"/>
  <c r="D113" i="46" s="1"/>
  <c r="G113" i="46" s="1"/>
  <c r="D111" i="46"/>
  <c r="G111" i="46" s="1"/>
  <c r="B110" i="46"/>
  <c r="D110" i="46" s="1"/>
  <c r="G110" i="46" s="1"/>
  <c r="B109" i="46"/>
  <c r="D109" i="46" s="1"/>
  <c r="G109" i="46" s="1"/>
  <c r="F107" i="46"/>
  <c r="D107" i="46"/>
  <c r="F106" i="46"/>
  <c r="D106" i="46"/>
  <c r="F105" i="46"/>
  <c r="D105" i="46"/>
  <c r="F104" i="46"/>
  <c r="D104" i="46"/>
  <c r="F103" i="46"/>
  <c r="D103" i="46"/>
  <c r="F102" i="46"/>
  <c r="D102" i="46"/>
  <c r="F101" i="46"/>
  <c r="D101" i="46"/>
  <c r="F100" i="46"/>
  <c r="D100" i="46"/>
  <c r="F99" i="46"/>
  <c r="B99" i="46"/>
  <c r="D99" i="46" s="1"/>
  <c r="F98" i="46"/>
  <c r="D98" i="46"/>
  <c r="D70" i="46"/>
  <c r="D71" i="46" s="1"/>
  <c r="B50" i="46"/>
  <c r="D35" i="46"/>
  <c r="D34" i="46"/>
  <c r="D33" i="46"/>
  <c r="D32" i="46"/>
  <c r="B25" i="46"/>
  <c r="D25" i="46" s="1"/>
  <c r="D26" i="46" s="1"/>
  <c r="C18" i="46"/>
  <c r="C19" i="46" s="1"/>
  <c r="E1341" i="46" l="1"/>
  <c r="G832" i="46"/>
  <c r="G801" i="46"/>
  <c r="G774" i="46"/>
  <c r="G809" i="46" s="1"/>
  <c r="G788" i="46"/>
  <c r="G839" i="46"/>
  <c r="G369" i="46"/>
  <c r="G374" i="46"/>
  <c r="G384" i="46"/>
  <c r="G415" i="46"/>
  <c r="G484" i="46"/>
  <c r="G409" i="46"/>
  <c r="G122" i="46"/>
  <c r="G357" i="46"/>
  <c r="G870" i="46"/>
  <c r="G905" i="46" s="1"/>
  <c r="G1034" i="46"/>
  <c r="G428" i="46"/>
  <c r="G628" i="46"/>
  <c r="G790" i="46"/>
  <c r="G521" i="46"/>
  <c r="G544" i="46" s="1"/>
  <c r="G879" i="46"/>
  <c r="G99" i="46"/>
  <c r="G101" i="46"/>
  <c r="G103" i="46"/>
  <c r="G107" i="46"/>
  <c r="G460" i="46"/>
  <c r="G486" i="46"/>
  <c r="G598" i="46"/>
  <c r="G493" i="46"/>
  <c r="G599" i="46"/>
  <c r="G901" i="46"/>
  <c r="D152" i="46"/>
  <c r="I152" i="46" s="1"/>
  <c r="D165" i="46"/>
  <c r="I165" i="46" s="1"/>
  <c r="G422" i="46"/>
  <c r="G424" i="46"/>
  <c r="G531" i="46"/>
  <c r="G568" i="46"/>
  <c r="G562" i="46"/>
  <c r="G601" i="46"/>
  <c r="G739" i="46"/>
  <c r="G786" i="46"/>
  <c r="G799" i="46"/>
  <c r="G886" i="46"/>
  <c r="G102" i="46"/>
  <c r="G436" i="46"/>
  <c r="G487" i="46"/>
  <c r="G590" i="46"/>
  <c r="G610" i="46" s="1"/>
  <c r="G738" i="46"/>
  <c r="G740" i="46" s="1"/>
  <c r="G880" i="46"/>
  <c r="G1026" i="46"/>
  <c r="G1046" i="46" s="1"/>
  <c r="G371" i="46"/>
  <c r="F754" i="46"/>
  <c r="F755" i="46" s="1"/>
  <c r="G797" i="46"/>
  <c r="G822" i="46"/>
  <c r="G857" i="46" s="1"/>
  <c r="G838" i="46"/>
  <c r="G847" i="46"/>
  <c r="G849" i="46"/>
  <c r="G853" i="46"/>
  <c r="G986" i="46"/>
  <c r="G1006" i="46" s="1"/>
  <c r="G997" i="46"/>
  <c r="E1300" i="46"/>
  <c r="G419" i="46"/>
  <c r="G421" i="46"/>
  <c r="G459" i="46"/>
  <c r="G482" i="46"/>
  <c r="G530" i="46"/>
  <c r="G535" i="46"/>
  <c r="G783" i="46"/>
  <c r="G836" i="46"/>
  <c r="G845" i="46"/>
  <c r="G884" i="46"/>
  <c r="G889" i="46"/>
  <c r="G1035" i="46"/>
  <c r="G1037" i="46"/>
  <c r="G98" i="46"/>
  <c r="G100" i="46"/>
  <c r="G366" i="46"/>
  <c r="G405" i="46"/>
  <c r="G408" i="46"/>
  <c r="G417" i="46"/>
  <c r="G454" i="46"/>
  <c r="G456" i="46"/>
  <c r="G458" i="46"/>
  <c r="G488" i="46"/>
  <c r="G533" i="46"/>
  <c r="G791" i="46"/>
  <c r="G841" i="46"/>
  <c r="G882" i="46"/>
  <c r="G897" i="46"/>
  <c r="I117" i="46"/>
  <c r="G414" i="46"/>
  <c r="E336" i="46"/>
  <c r="G367" i="46"/>
  <c r="G388" i="46"/>
  <c r="G465" i="46"/>
  <c r="G472" i="46" s="1"/>
  <c r="G480" i="46"/>
  <c r="G634" i="46"/>
  <c r="G636" i="46"/>
  <c r="D687" i="46"/>
  <c r="D697" i="46"/>
  <c r="G784" i="46"/>
  <c r="G104" i="46"/>
  <c r="G106" i="46"/>
  <c r="G129" i="46"/>
  <c r="G119" i="46"/>
  <c r="I262" i="46"/>
  <c r="G382" i="46"/>
  <c r="G452" i="46"/>
  <c r="G629" i="46"/>
  <c r="G638" i="46" s="1"/>
  <c r="E1302" i="46"/>
  <c r="E1401" i="46"/>
  <c r="G834" i="46"/>
  <c r="D1370" i="46"/>
  <c r="D36" i="46"/>
  <c r="I149" i="46"/>
  <c r="E321" i="46"/>
  <c r="D722" i="46"/>
  <c r="F747" i="46"/>
  <c r="F748" i="46" s="1"/>
  <c r="G805" i="46"/>
  <c r="G995" i="46"/>
  <c r="G120" i="46"/>
  <c r="G361" i="46"/>
  <c r="G373" i="46"/>
  <c r="G380" i="46"/>
  <c r="G432" i="46"/>
  <c r="G570" i="46"/>
  <c r="G563" i="46"/>
  <c r="D713" i="46"/>
  <c r="G793" i="46"/>
  <c r="G831" i="46"/>
  <c r="G887" i="46"/>
  <c r="G893" i="46"/>
  <c r="G895" i="46"/>
  <c r="G994" i="46"/>
  <c r="D1074" i="46"/>
  <c r="E1308" i="46"/>
  <c r="E1310" i="46" s="1"/>
  <c r="E1316" i="46"/>
  <c r="E1318" i="46" s="1"/>
  <c r="E1324" i="46"/>
  <c r="E1326" i="46" s="1"/>
  <c r="E1332" i="46"/>
  <c r="E1334" i="46" s="1"/>
  <c r="E1409" i="46"/>
  <c r="I311" i="46"/>
  <c r="G105" i="46"/>
  <c r="G376" i="46"/>
  <c r="G500" i="46"/>
  <c r="G127" i="46"/>
  <c r="I111" i="46"/>
  <c r="G121" i="46"/>
  <c r="D175" i="46"/>
  <c r="I175" i="46" s="1"/>
  <c r="G360" i="46"/>
  <c r="G430" i="46"/>
  <c r="G542" i="46"/>
  <c r="G608" i="46"/>
  <c r="G1004" i="46"/>
  <c r="G1044" i="46"/>
  <c r="E1385" i="46"/>
  <c r="E1393" i="46"/>
  <c r="G572" i="46" l="1"/>
  <c r="G573" i="46" s="1"/>
  <c r="G440" i="46"/>
  <c r="G612" i="46"/>
  <c r="G613" i="46" s="1"/>
  <c r="G470" i="46"/>
  <c r="G473" i="46" s="1"/>
  <c r="G1048" i="46"/>
  <c r="G1049" i="46" s="1"/>
  <c r="G546" i="46"/>
  <c r="G547" i="46" s="1"/>
  <c r="G811" i="46"/>
  <c r="G909" i="46"/>
  <c r="G442" i="46"/>
  <c r="G907" i="46"/>
  <c r="G498" i="46"/>
  <c r="G501" i="46" s="1"/>
  <c r="G394" i="46"/>
  <c r="G392" i="46"/>
  <c r="G813" i="46"/>
  <c r="G814" i="46" s="1"/>
  <c r="G131" i="46"/>
  <c r="G859" i="46"/>
  <c r="G861" i="46"/>
  <c r="G444" i="46"/>
  <c r="I107" i="46"/>
  <c r="G396" i="46"/>
  <c r="G639" i="46"/>
  <c r="G1008" i="46"/>
  <c r="G1009" i="46" s="1"/>
  <c r="I122" i="46"/>
  <c r="G125" i="46"/>
  <c r="G910" i="46" l="1"/>
  <c r="G445" i="46"/>
  <c r="G397" i="46"/>
  <c r="G132" i="46"/>
  <c r="G862" i="46"/>
  <c r="H364" i="36"/>
  <c r="H345" i="36"/>
  <c r="F364" i="36"/>
  <c r="I364" i="36" l="1"/>
  <c r="F345" i="36"/>
  <c r="I345" i="36" s="1"/>
  <c r="F342" i="36"/>
  <c r="H342" i="36"/>
  <c r="H339" i="36"/>
  <c r="H340" i="36"/>
  <c r="H341" i="36"/>
  <c r="F339" i="36"/>
  <c r="F340" i="36"/>
  <c r="F341" i="36"/>
  <c r="H425" i="36"/>
  <c r="H426" i="36"/>
  <c r="F425" i="36"/>
  <c r="F426" i="36"/>
  <c r="H366" i="36"/>
  <c r="F366" i="36"/>
  <c r="F476" i="24"/>
  <c r="F474" i="24"/>
  <c r="F475" i="24"/>
  <c r="F477" i="24"/>
  <c r="F473" i="24"/>
  <c r="F470" i="24"/>
  <c r="F469" i="24"/>
  <c r="F449" i="24"/>
  <c r="F432" i="24"/>
  <c r="F433" i="24"/>
  <c r="F434" i="24"/>
  <c r="F435" i="24"/>
  <c r="H367" i="36"/>
  <c r="F367" i="36"/>
  <c r="F368" i="36"/>
  <c r="H368" i="36"/>
  <c r="F426" i="24"/>
  <c r="I340" i="36" l="1"/>
  <c r="I368" i="36"/>
  <c r="I366" i="36"/>
  <c r="I426" i="36"/>
  <c r="I425" i="36"/>
  <c r="I339" i="36"/>
  <c r="I341" i="36"/>
  <c r="I342" i="36"/>
  <c r="F478" i="24"/>
  <c r="F471" i="24"/>
  <c r="I367" i="36"/>
  <c r="H359" i="36"/>
  <c r="H360" i="36"/>
  <c r="F358" i="36"/>
  <c r="H64" i="36"/>
  <c r="F64" i="36"/>
  <c r="I64" i="36" l="1"/>
  <c r="F479" i="24"/>
  <c r="J366" i="36" s="1"/>
  <c r="H327" i="36"/>
  <c r="H326" i="36"/>
  <c r="F223" i="29" l="1"/>
  <c r="F209" i="29"/>
  <c r="F210" i="29"/>
  <c r="F211" i="29"/>
  <c r="F208" i="29"/>
  <c r="F205" i="29"/>
  <c r="F204" i="29"/>
  <c r="F197" i="29"/>
  <c r="F196" i="29"/>
  <c r="F193" i="29"/>
  <c r="F192" i="29"/>
  <c r="F331" i="36"/>
  <c r="F332" i="36"/>
  <c r="F333" i="36"/>
  <c r="H330" i="36"/>
  <c r="H331" i="36"/>
  <c r="H332" i="36"/>
  <c r="H333" i="36"/>
  <c r="F330" i="36"/>
  <c r="F327" i="36"/>
  <c r="I327" i="36" s="1"/>
  <c r="F326" i="36"/>
  <c r="I326" i="36" s="1"/>
  <c r="H318" i="36"/>
  <c r="F318" i="36"/>
  <c r="F185" i="29"/>
  <c r="F184" i="29"/>
  <c r="F183" i="29"/>
  <c r="F182" i="29"/>
  <c r="F181" i="29"/>
  <c r="F180" i="29"/>
  <c r="F177" i="29"/>
  <c r="F176" i="29"/>
  <c r="I331" i="36" l="1"/>
  <c r="I332" i="36"/>
  <c r="I330" i="36"/>
  <c r="I318" i="36"/>
  <c r="I333" i="36"/>
  <c r="F212" i="29"/>
  <c r="F206" i="29"/>
  <c r="F194" i="29"/>
  <c r="F198" i="29"/>
  <c r="F178" i="29"/>
  <c r="F186" i="29"/>
  <c r="F199" i="29" l="1"/>
  <c r="J316" i="36" s="1"/>
  <c r="F213" i="29"/>
  <c r="J317" i="36" s="1"/>
  <c r="F187" i="29"/>
  <c r="J309" i="36" s="1"/>
  <c r="F21" i="45"/>
  <c r="F22" i="45" s="1"/>
  <c r="F18" i="45"/>
  <c r="F19" i="45" s="1"/>
  <c r="F23" i="45" l="1"/>
  <c r="J351" i="36" s="1"/>
  <c r="F34" i="45" l="1"/>
  <c r="F38" i="45" s="1"/>
  <c r="F28" i="45"/>
  <c r="B12" i="45"/>
  <c r="B11" i="45"/>
  <c r="B10" i="45"/>
  <c r="B9" i="45"/>
  <c r="F8" i="45"/>
  <c r="B8" i="45"/>
  <c r="F360" i="36"/>
  <c r="I360" i="36" s="1"/>
  <c r="F359" i="36"/>
  <c r="I359" i="36" s="1"/>
  <c r="F354" i="36"/>
  <c r="G35" i="44"/>
  <c r="G34" i="44"/>
  <c r="B29" i="44"/>
  <c r="B33" i="44" s="1"/>
  <c r="B27" i="44"/>
  <c r="G39" i="44" s="1"/>
  <c r="G22" i="44"/>
  <c r="B21" i="44"/>
  <c r="G16" i="44"/>
  <c r="B10" i="44"/>
  <c r="B9" i="44"/>
  <c r="B7" i="44"/>
  <c r="G28" i="44" l="1"/>
  <c r="B11" i="44"/>
  <c r="B18" i="44" s="1"/>
  <c r="G31" i="44"/>
  <c r="G38" i="44" s="1"/>
  <c r="F32" i="45"/>
  <c r="G15" i="44"/>
  <c r="B8" i="44"/>
  <c r="G27" i="44"/>
  <c r="G29" i="44"/>
  <c r="G23" i="44"/>
  <c r="B28" i="44"/>
  <c r="G30" i="44"/>
  <c r="G33" i="44"/>
  <c r="G14" i="44" l="1"/>
  <c r="B15" i="44"/>
  <c r="G37" i="44"/>
  <c r="G32" i="44"/>
  <c r="F39" i="45"/>
  <c r="J359" i="36" s="1"/>
  <c r="G13" i="44"/>
  <c r="B17" i="44"/>
  <c r="G12" i="44"/>
  <c r="B14" i="44"/>
  <c r="G18" i="44" l="1"/>
  <c r="G10" i="44"/>
  <c r="G8" i="44"/>
  <c r="G11" i="44"/>
  <c r="G7" i="44"/>
  <c r="G21" i="44"/>
  <c r="G9" i="44"/>
  <c r="G20" i="44" l="1"/>
  <c r="F262" i="36"/>
  <c r="H262" i="36"/>
  <c r="F142" i="29"/>
  <c r="F143" i="29"/>
  <c r="I262" i="36" l="1"/>
  <c r="F133" i="29"/>
  <c r="F132" i="29"/>
  <c r="F131" i="29"/>
  <c r="F130" i="29"/>
  <c r="F127" i="29"/>
  <c r="F126" i="29"/>
  <c r="F8" i="29"/>
  <c r="B12" i="29"/>
  <c r="B11" i="29"/>
  <c r="B10" i="29"/>
  <c r="B9" i="29"/>
  <c r="B8" i="29"/>
  <c r="F134" i="29" l="1"/>
  <c r="F128" i="29"/>
  <c r="F245" i="36"/>
  <c r="H216" i="36"/>
  <c r="H217" i="36"/>
  <c r="H302" i="36"/>
  <c r="F158" i="24"/>
  <c r="F154" i="24"/>
  <c r="F153" i="24"/>
  <c r="H130" i="36"/>
  <c r="F130" i="36"/>
  <c r="H112" i="36"/>
  <c r="F112" i="36"/>
  <c r="H90" i="36"/>
  <c r="H91" i="36"/>
  <c r="H92" i="36"/>
  <c r="H93" i="36"/>
  <c r="F90" i="36"/>
  <c r="F91" i="36"/>
  <c r="F92" i="36"/>
  <c r="F93" i="36"/>
  <c r="H89" i="36"/>
  <c r="F89" i="36"/>
  <c r="F91" i="35"/>
  <c r="F155" i="24" l="1"/>
  <c r="F135" i="29"/>
  <c r="J281" i="36" s="1"/>
  <c r="I89" i="36"/>
  <c r="I90" i="36"/>
  <c r="I130" i="36"/>
  <c r="I93" i="36"/>
  <c r="I92" i="36"/>
  <c r="I91" i="36"/>
  <c r="F339" i="24"/>
  <c r="F340" i="24"/>
  <c r="F326" i="24"/>
  <c r="F327" i="24"/>
  <c r="C148" i="24"/>
  <c r="G139" i="24" s="1"/>
  <c r="M17" i="4" l="1"/>
  <c r="M18" i="4"/>
  <c r="M19" i="4"/>
  <c r="M20" i="4"/>
  <c r="M21" i="4"/>
  <c r="M22" i="4"/>
  <c r="M23" i="4"/>
  <c r="M24" i="4"/>
  <c r="M25" i="4"/>
  <c r="M27" i="4"/>
  <c r="M28" i="4"/>
  <c r="M29" i="4"/>
  <c r="M30" i="4"/>
  <c r="M31" i="4"/>
  <c r="M32" i="4"/>
  <c r="M33" i="4"/>
  <c r="M34" i="4"/>
  <c r="M35" i="4"/>
  <c r="M36" i="4"/>
  <c r="M37" i="4"/>
  <c r="M38" i="4"/>
  <c r="M16" i="4"/>
  <c r="B37" i="2"/>
  <c r="A37" i="2"/>
  <c r="B36" i="2"/>
  <c r="A36" i="2"/>
  <c r="B35" i="2"/>
  <c r="A35" i="2"/>
  <c r="B30" i="2"/>
  <c r="B31" i="4" s="1"/>
  <c r="A30" i="2"/>
  <c r="A31" i="4" s="1"/>
  <c r="B28" i="2"/>
  <c r="B29" i="4" s="1"/>
  <c r="A28" i="2"/>
  <c r="A29" i="4" s="1"/>
  <c r="B27" i="2"/>
  <c r="A27" i="2"/>
  <c r="B25" i="4"/>
  <c r="A25" i="4"/>
  <c r="B20" i="2"/>
  <c r="B21" i="4" s="1"/>
  <c r="A20" i="2"/>
  <c r="A21" i="4" s="1"/>
  <c r="H405" i="36"/>
  <c r="F405" i="36"/>
  <c r="H400" i="36"/>
  <c r="F400" i="36"/>
  <c r="D400" i="36"/>
  <c r="H401" i="36"/>
  <c r="H122" i="36"/>
  <c r="H87" i="36"/>
  <c r="H86" i="36"/>
  <c r="H85" i="36"/>
  <c r="H76" i="36"/>
  <c r="H75" i="36"/>
  <c r="H74" i="36"/>
  <c r="H62" i="36"/>
  <c r="H61" i="36"/>
  <c r="H60" i="36"/>
  <c r="H59" i="36"/>
  <c r="I400" i="36" l="1"/>
  <c r="I405" i="36"/>
  <c r="F50" i="36"/>
  <c r="H51" i="36"/>
  <c r="H52" i="36"/>
  <c r="H53" i="36"/>
  <c r="H379" i="36"/>
  <c r="F379" i="36"/>
  <c r="I379" i="36" l="1"/>
  <c r="F436" i="24" l="1"/>
  <c r="F427" i="24"/>
  <c r="F428" i="24"/>
  <c r="F431" i="24"/>
  <c r="F419" i="24"/>
  <c r="F420" i="24" s="1"/>
  <c r="F416" i="24"/>
  <c r="F417" i="24" s="1"/>
  <c r="K413" i="36"/>
  <c r="C410" i="24"/>
  <c r="F402" i="24"/>
  <c r="F403" i="24" s="1"/>
  <c r="F399" i="24"/>
  <c r="F400" i="24" s="1"/>
  <c r="H409" i="36"/>
  <c r="H410" i="36"/>
  <c r="H411" i="36"/>
  <c r="H412" i="36"/>
  <c r="H413" i="36"/>
  <c r="H414" i="36"/>
  <c r="H415" i="36"/>
  <c r="F409" i="36"/>
  <c r="F410" i="36"/>
  <c r="F411" i="36"/>
  <c r="F412" i="36"/>
  <c r="F413" i="36"/>
  <c r="F414" i="36"/>
  <c r="F415" i="36"/>
  <c r="F408" i="36"/>
  <c r="H408" i="36"/>
  <c r="H417" i="36"/>
  <c r="H418" i="36"/>
  <c r="H419" i="36"/>
  <c r="H420" i="36"/>
  <c r="H421" i="36"/>
  <c r="F417" i="36"/>
  <c r="F418" i="36"/>
  <c r="F419" i="36"/>
  <c r="F420" i="36"/>
  <c r="F421" i="36"/>
  <c r="C394" i="24"/>
  <c r="C378" i="24"/>
  <c r="I410" i="36" l="1"/>
  <c r="I408" i="36"/>
  <c r="I409" i="36"/>
  <c r="F429" i="24"/>
  <c r="I412" i="36"/>
  <c r="I418" i="36"/>
  <c r="I413" i="36"/>
  <c r="I421" i="36"/>
  <c r="I417" i="36"/>
  <c r="I415" i="36"/>
  <c r="I420" i="36"/>
  <c r="I414" i="36"/>
  <c r="I419" i="36"/>
  <c r="F437" i="24"/>
  <c r="I411" i="36"/>
  <c r="F404" i="24"/>
  <c r="J410" i="36" s="1"/>
  <c r="F421" i="24"/>
  <c r="J415" i="36" s="1"/>
  <c r="C475" i="31"/>
  <c r="C457" i="31"/>
  <c r="F448" i="31"/>
  <c r="F503" i="31"/>
  <c r="F500" i="31"/>
  <c r="F499" i="31"/>
  <c r="C494" i="31"/>
  <c r="F484" i="31"/>
  <c r="F481" i="31"/>
  <c r="F480" i="31"/>
  <c r="F467" i="31"/>
  <c r="F466" i="31"/>
  <c r="F463" i="31"/>
  <c r="F462" i="31"/>
  <c r="F449" i="31"/>
  <c r="F445" i="31"/>
  <c r="F444" i="31"/>
  <c r="C439" i="31"/>
  <c r="C420" i="31"/>
  <c r="F412" i="31"/>
  <c r="F413" i="31" s="1"/>
  <c r="F409" i="31"/>
  <c r="F408" i="31"/>
  <c r="H211" i="36"/>
  <c r="F211" i="36"/>
  <c r="H205" i="36"/>
  <c r="H206" i="36"/>
  <c r="H207" i="36"/>
  <c r="H208" i="36"/>
  <c r="H209" i="36"/>
  <c r="H210" i="36"/>
  <c r="H212" i="36"/>
  <c r="F205" i="36"/>
  <c r="F206" i="36"/>
  <c r="F207" i="36"/>
  <c r="F208" i="36"/>
  <c r="F209" i="36"/>
  <c r="F210" i="36"/>
  <c r="F216" i="36"/>
  <c r="I216" i="36" s="1"/>
  <c r="F217" i="36"/>
  <c r="I217" i="36" s="1"/>
  <c r="H213" i="36"/>
  <c r="H214" i="36"/>
  <c r="H215" i="36"/>
  <c r="H218" i="36"/>
  <c r="F212" i="36"/>
  <c r="F213" i="36"/>
  <c r="F214" i="36"/>
  <c r="F215" i="36"/>
  <c r="F218" i="36"/>
  <c r="F401" i="31"/>
  <c r="F402" i="31" s="1"/>
  <c r="F398" i="31"/>
  <c r="F397" i="31"/>
  <c r="I213" i="36" l="1"/>
  <c r="I215" i="36"/>
  <c r="I206" i="36"/>
  <c r="I214" i="36"/>
  <c r="F438" i="24"/>
  <c r="I207" i="36"/>
  <c r="I205" i="36"/>
  <c r="I211" i="36"/>
  <c r="F501" i="31"/>
  <c r="F504" i="31"/>
  <c r="F487" i="31"/>
  <c r="F464" i="31"/>
  <c r="F482" i="31"/>
  <c r="F450" i="31"/>
  <c r="F468" i="31"/>
  <c r="F446" i="31"/>
  <c r="F399" i="31"/>
  <c r="F403" i="31" s="1"/>
  <c r="J204" i="36" s="1"/>
  <c r="F410" i="31"/>
  <c r="F414" i="31" s="1"/>
  <c r="J206" i="36" s="1"/>
  <c r="I210" i="36"/>
  <c r="I209" i="36"/>
  <c r="I208" i="36"/>
  <c r="I218" i="36"/>
  <c r="I212" i="36"/>
  <c r="F373" i="31"/>
  <c r="F374" i="31" s="1"/>
  <c r="F370" i="31"/>
  <c r="F369" i="31"/>
  <c r="C364" i="31"/>
  <c r="F356" i="31"/>
  <c r="F357" i="31" s="1"/>
  <c r="F353" i="31"/>
  <c r="F352" i="31"/>
  <c r="H184" i="36"/>
  <c r="H185" i="36"/>
  <c r="H186" i="36"/>
  <c r="H187" i="36"/>
  <c r="H188" i="36"/>
  <c r="H189" i="36"/>
  <c r="F184" i="36"/>
  <c r="F185" i="36"/>
  <c r="F186" i="36"/>
  <c r="F187" i="36"/>
  <c r="F188" i="36"/>
  <c r="F189" i="36"/>
  <c r="H178" i="36"/>
  <c r="H179" i="36"/>
  <c r="H180" i="36"/>
  <c r="H181" i="36"/>
  <c r="H182" i="36"/>
  <c r="H183" i="36"/>
  <c r="H190" i="36"/>
  <c r="H191" i="36"/>
  <c r="F178" i="36"/>
  <c r="F179" i="36"/>
  <c r="F180" i="36"/>
  <c r="F181" i="36"/>
  <c r="F182" i="36"/>
  <c r="F183" i="36"/>
  <c r="F190" i="36"/>
  <c r="F191" i="36"/>
  <c r="F177" i="36"/>
  <c r="H177" i="36"/>
  <c r="F176" i="36"/>
  <c r="H176" i="36"/>
  <c r="C318" i="31"/>
  <c r="F310" i="31"/>
  <c r="F311" i="31" s="1"/>
  <c r="F307" i="31"/>
  <c r="F306" i="31"/>
  <c r="C301" i="31"/>
  <c r="F293" i="31"/>
  <c r="F294" i="31" s="1"/>
  <c r="F290" i="31"/>
  <c r="F289" i="31"/>
  <c r="C284" i="31"/>
  <c r="F276" i="31"/>
  <c r="F277" i="31" s="1"/>
  <c r="F273" i="31"/>
  <c r="F272" i="31"/>
  <c r="I185" i="36" l="1"/>
  <c r="I182" i="36"/>
  <c r="J368" i="36"/>
  <c r="F505" i="31"/>
  <c r="J217" i="36" s="1"/>
  <c r="F488" i="31"/>
  <c r="J216" i="36" s="1"/>
  <c r="F469" i="31"/>
  <c r="J215" i="36" s="1"/>
  <c r="F451" i="31"/>
  <c r="J214" i="36" s="1"/>
  <c r="F371" i="31"/>
  <c r="F375" i="31" s="1"/>
  <c r="J202" i="36" s="1"/>
  <c r="I189" i="36"/>
  <c r="I188" i="36"/>
  <c r="I184" i="36"/>
  <c r="I191" i="36"/>
  <c r="I190" i="36"/>
  <c r="I177" i="36"/>
  <c r="F354" i="31"/>
  <c r="F358" i="31" s="1"/>
  <c r="J185" i="36" s="1"/>
  <c r="I180" i="36"/>
  <c r="I179" i="36"/>
  <c r="I178" i="36"/>
  <c r="I176" i="36"/>
  <c r="I181" i="36"/>
  <c r="I186" i="36"/>
  <c r="I187" i="36"/>
  <c r="I183" i="36"/>
  <c r="F274" i="31"/>
  <c r="F278" i="31" s="1"/>
  <c r="J249" i="36" s="1"/>
  <c r="F291" i="31"/>
  <c r="F295" i="31" s="1"/>
  <c r="J252" i="36" s="1"/>
  <c r="F308" i="31"/>
  <c r="F312" i="31" s="1"/>
  <c r="J256" i="36" s="1"/>
  <c r="H250" i="36"/>
  <c r="H251" i="36"/>
  <c r="H252" i="36"/>
  <c r="H253" i="36"/>
  <c r="H254" i="36"/>
  <c r="H255" i="36"/>
  <c r="H256" i="36"/>
  <c r="F250" i="36"/>
  <c r="F251" i="36"/>
  <c r="F252" i="36"/>
  <c r="F253" i="36"/>
  <c r="F254" i="36"/>
  <c r="F255" i="36"/>
  <c r="F256" i="36"/>
  <c r="H249" i="36"/>
  <c r="F249" i="36"/>
  <c r="C204" i="31"/>
  <c r="F196" i="31"/>
  <c r="F191" i="31"/>
  <c r="F184" i="31"/>
  <c r="F185" i="31" s="1"/>
  <c r="F181" i="31"/>
  <c r="F180" i="31"/>
  <c r="H233" i="36"/>
  <c r="H234" i="36"/>
  <c r="H235" i="36"/>
  <c r="H236" i="36"/>
  <c r="H238" i="36"/>
  <c r="H239" i="36"/>
  <c r="H240" i="36"/>
  <c r="H241" i="36"/>
  <c r="H242" i="36"/>
  <c r="H243" i="36"/>
  <c r="H244" i="36"/>
  <c r="H245" i="36"/>
  <c r="I245" i="36" s="1"/>
  <c r="H246" i="36"/>
  <c r="C175" i="31"/>
  <c r="F167" i="31"/>
  <c r="F168" i="31" s="1"/>
  <c r="F164" i="31"/>
  <c r="F163" i="31"/>
  <c r="F150" i="31"/>
  <c r="F151" i="31" s="1"/>
  <c r="F147" i="31"/>
  <c r="F146" i="31"/>
  <c r="C73" i="31"/>
  <c r="F65" i="31"/>
  <c r="F66" i="31" s="1"/>
  <c r="F62" i="31"/>
  <c r="F63" i="31" s="1"/>
  <c r="I256" i="36" l="1"/>
  <c r="F194" i="31"/>
  <c r="F197" i="31" s="1"/>
  <c r="F198" i="31" s="1"/>
  <c r="J236" i="36" s="1"/>
  <c r="I249" i="36"/>
  <c r="I252" i="36"/>
  <c r="I253" i="36"/>
  <c r="I255" i="36"/>
  <c r="I254" i="36"/>
  <c r="I250" i="36"/>
  <c r="F148" i="31"/>
  <c r="F152" i="31" s="1"/>
  <c r="J234" i="36" s="1"/>
  <c r="I251" i="36"/>
  <c r="F67" i="31"/>
  <c r="J223" i="36" s="1"/>
  <c r="F182" i="31"/>
  <c r="F186" i="31" s="1"/>
  <c r="F165" i="31"/>
  <c r="F169" i="31" s="1"/>
  <c r="J235" i="36" s="1"/>
  <c r="C41" i="31"/>
  <c r="H33" i="31" s="1"/>
  <c r="J245" i="36" l="1"/>
  <c r="J205" i="36"/>
  <c r="C267" i="31"/>
  <c r="F259" i="31"/>
  <c r="F260" i="31" s="1"/>
  <c r="F256" i="31"/>
  <c r="F255" i="31"/>
  <c r="F248" i="31"/>
  <c r="F249" i="31" s="1"/>
  <c r="F245" i="31"/>
  <c r="F244" i="31"/>
  <c r="F237" i="31"/>
  <c r="F238" i="31" s="1"/>
  <c r="F234" i="31"/>
  <c r="F233" i="31"/>
  <c r="H228" i="36"/>
  <c r="H229" i="36"/>
  <c r="F228" i="36"/>
  <c r="F234" i="36"/>
  <c r="I234" i="36" s="1"/>
  <c r="F235" i="36"/>
  <c r="I235" i="36" s="1"/>
  <c r="F236" i="36"/>
  <c r="I236" i="36" s="1"/>
  <c r="F238" i="36"/>
  <c r="I238" i="36" s="1"/>
  <c r="F233" i="36"/>
  <c r="I233" i="36" s="1"/>
  <c r="H227" i="36"/>
  <c r="H230" i="36"/>
  <c r="H231" i="36"/>
  <c r="H232" i="36"/>
  <c r="F229" i="36"/>
  <c r="F230" i="36"/>
  <c r="F231" i="36"/>
  <c r="F232" i="36"/>
  <c r="F239" i="36"/>
  <c r="I239" i="36" s="1"/>
  <c r="F244" i="36"/>
  <c r="I244" i="36" s="1"/>
  <c r="F243" i="36"/>
  <c r="I243" i="36" s="1"/>
  <c r="H225" i="36"/>
  <c r="F225" i="36"/>
  <c r="H222" i="36"/>
  <c r="H223" i="36"/>
  <c r="H224" i="36"/>
  <c r="H226" i="36"/>
  <c r="H221" i="36"/>
  <c r="F8" i="31"/>
  <c r="B12" i="31"/>
  <c r="B11" i="31"/>
  <c r="B10" i="31"/>
  <c r="B9" i="31"/>
  <c r="B8" i="31"/>
  <c r="F352" i="24"/>
  <c r="F353" i="24"/>
  <c r="I225" i="36" l="1"/>
  <c r="I228" i="36"/>
  <c r="I232" i="36"/>
  <c r="I229" i="36"/>
  <c r="I231" i="36"/>
  <c r="I230" i="36"/>
  <c r="F246" i="31"/>
  <c r="F250" i="31" s="1"/>
  <c r="F257" i="31"/>
  <c r="F261" i="31" s="1"/>
  <c r="J233" i="36" s="1"/>
  <c r="F235" i="31"/>
  <c r="F239" i="31" s="1"/>
  <c r="J230" i="36" s="1"/>
  <c r="H116" i="36"/>
  <c r="F116" i="36"/>
  <c r="F122" i="36"/>
  <c r="I122" i="36" s="1"/>
  <c r="I116" i="36" l="1"/>
  <c r="J231" i="36"/>
  <c r="J203" i="36"/>
  <c r="F386" i="24"/>
  <c r="F387" i="24" s="1"/>
  <c r="F383" i="24"/>
  <c r="F370" i="24"/>
  <c r="F371" i="24" s="1"/>
  <c r="F367" i="24"/>
  <c r="F351" i="24"/>
  <c r="F354" i="24" s="1"/>
  <c r="F348" i="24"/>
  <c r="F347" i="24"/>
  <c r="F349" i="24" l="1"/>
  <c r="F384" i="24"/>
  <c r="F388" i="24" s="1"/>
  <c r="J409" i="36" s="1"/>
  <c r="F368" i="24"/>
  <c r="F372" i="24" s="1"/>
  <c r="J408" i="36" s="1"/>
  <c r="H119" i="36"/>
  <c r="F119" i="36"/>
  <c r="H118" i="36"/>
  <c r="F118" i="36"/>
  <c r="H117" i="36"/>
  <c r="F117" i="36"/>
  <c r="I118" i="36" l="1"/>
  <c r="I117" i="36"/>
  <c r="I119" i="36"/>
  <c r="H120" i="36"/>
  <c r="F120" i="36"/>
  <c r="F338" i="24"/>
  <c r="F341" i="24" s="1"/>
  <c r="F335" i="24"/>
  <c r="F334" i="24"/>
  <c r="F325" i="24"/>
  <c r="F328" i="24" s="1"/>
  <c r="F322" i="24"/>
  <c r="F321" i="24"/>
  <c r="H124" i="36"/>
  <c r="F124" i="36"/>
  <c r="I120" i="36" l="1"/>
  <c r="F336" i="24"/>
  <c r="I124" i="36"/>
  <c r="F323" i="24"/>
  <c r="F329" i="24" s="1"/>
  <c r="J123" i="36" s="1"/>
  <c r="F302" i="36"/>
  <c r="I302" i="36" s="1"/>
  <c r="F314" i="24"/>
  <c r="F315" i="24" s="1"/>
  <c r="F311" i="24"/>
  <c r="F310" i="24"/>
  <c r="F303" i="24"/>
  <c r="F304" i="24" s="1"/>
  <c r="F300" i="24"/>
  <c r="F299" i="24"/>
  <c r="F290" i="24"/>
  <c r="F291" i="24"/>
  <c r="F292" i="24"/>
  <c r="F289" i="24"/>
  <c r="F286" i="24"/>
  <c r="F285" i="24"/>
  <c r="F312" i="24" l="1"/>
  <c r="F316" i="24" s="1"/>
  <c r="J304" i="36" s="1"/>
  <c r="F301" i="24"/>
  <c r="F305" i="24" s="1"/>
  <c r="J303" i="36" s="1"/>
  <c r="F287" i="24"/>
  <c r="F293" i="24"/>
  <c r="F253" i="24"/>
  <c r="F252" i="24"/>
  <c r="F251" i="24"/>
  <c r="F248" i="24"/>
  <c r="F247" i="24"/>
  <c r="H291" i="36"/>
  <c r="H292" i="36"/>
  <c r="H293" i="36"/>
  <c r="H294" i="36"/>
  <c r="H295" i="36"/>
  <c r="H296" i="36"/>
  <c r="H297" i="36"/>
  <c r="H298" i="36"/>
  <c r="H299" i="36"/>
  <c r="H300" i="36"/>
  <c r="H301" i="36"/>
  <c r="H303" i="36"/>
  <c r="H304" i="36"/>
  <c r="H290" i="36"/>
  <c r="F291" i="36"/>
  <c r="F292" i="36"/>
  <c r="F293" i="36"/>
  <c r="F294" i="36"/>
  <c r="F295" i="36"/>
  <c r="F296" i="36"/>
  <c r="F297" i="36"/>
  <c r="F298" i="36"/>
  <c r="F299" i="36"/>
  <c r="F300" i="36"/>
  <c r="F301" i="36"/>
  <c r="F303" i="36"/>
  <c r="F304" i="36"/>
  <c r="F290" i="36"/>
  <c r="H97" i="36"/>
  <c r="F97" i="36"/>
  <c r="H101" i="36"/>
  <c r="F101" i="36"/>
  <c r="I298" i="36" l="1"/>
  <c r="I293" i="36"/>
  <c r="I294" i="36"/>
  <c r="I292" i="36"/>
  <c r="I291" i="36"/>
  <c r="I290" i="36"/>
  <c r="I297" i="36"/>
  <c r="I296" i="36"/>
  <c r="I295" i="36"/>
  <c r="I300" i="36"/>
  <c r="I304" i="36"/>
  <c r="I299" i="36"/>
  <c r="I303" i="36"/>
  <c r="I301" i="36"/>
  <c r="I101" i="36"/>
  <c r="I97" i="36"/>
  <c r="F249" i="24"/>
  <c r="F294" i="24"/>
  <c r="J302" i="36" s="1"/>
  <c r="F254" i="24"/>
  <c r="C232" i="24"/>
  <c r="F224" i="24"/>
  <c r="F222" i="24"/>
  <c r="I305" i="36" l="1"/>
  <c r="D30" i="2" s="1"/>
  <c r="C31" i="4" s="1"/>
  <c r="K31" i="4" s="1"/>
  <c r="F255" i="24"/>
  <c r="J112" i="36" s="1"/>
  <c r="F225" i="24"/>
  <c r="F226" i="24" s="1"/>
  <c r="J141" i="36" s="1"/>
  <c r="F192" i="24"/>
  <c r="C216" i="24"/>
  <c r="G208" i="24" s="1"/>
  <c r="F208" i="24"/>
  <c r="F209" i="24" s="1"/>
  <c r="F206" i="24"/>
  <c r="H91" i="24"/>
  <c r="H84" i="24"/>
  <c r="H83" i="24"/>
  <c r="H87" i="24"/>
  <c r="F88" i="24"/>
  <c r="G31" i="4" l="1"/>
  <c r="E31" i="4"/>
  <c r="I31" i="4"/>
  <c r="F210" i="24"/>
  <c r="C200" i="24"/>
  <c r="F191" i="24"/>
  <c r="F193" i="24" s="1"/>
  <c r="F189" i="24"/>
  <c r="C183" i="24"/>
  <c r="F175" i="24"/>
  <c r="F176" i="24" s="1"/>
  <c r="F173" i="24"/>
  <c r="I138" i="36"/>
  <c r="H138" i="36"/>
  <c r="F138" i="36"/>
  <c r="F194" i="24" l="1"/>
  <c r="J140" i="36" s="1"/>
  <c r="F177" i="24"/>
  <c r="J139" i="36" s="1"/>
  <c r="H133" i="36"/>
  <c r="H134" i="36"/>
  <c r="H135" i="36"/>
  <c r="H136" i="36"/>
  <c r="H137" i="36"/>
  <c r="F71" i="35" l="1"/>
  <c r="F72" i="35"/>
  <c r="F73" i="35"/>
  <c r="B81" i="42"/>
  <c r="B79" i="42"/>
  <c r="B66" i="42"/>
  <c r="B61" i="42"/>
  <c r="B59" i="42"/>
  <c r="B58" i="42"/>
  <c r="B57" i="42"/>
  <c r="B56" i="42"/>
  <c r="B54" i="42"/>
  <c r="B55" i="42" s="1"/>
  <c r="B53" i="42"/>
  <c r="B51" i="42"/>
  <c r="B50" i="42"/>
  <c r="B49" i="42"/>
  <c r="B48" i="42"/>
  <c r="B46" i="42"/>
  <c r="B47" i="42" s="1"/>
  <c r="B45" i="42"/>
  <c r="B43" i="42"/>
  <c r="B38" i="42"/>
  <c r="B30" i="42"/>
  <c r="B26" i="42"/>
  <c r="B25" i="42"/>
  <c r="B24" i="42"/>
  <c r="B23" i="42"/>
  <c r="B21" i="42"/>
  <c r="B5" i="42" s="1"/>
  <c r="B20" i="42"/>
  <c r="B18" i="42"/>
  <c r="B17" i="42"/>
  <c r="B16" i="42"/>
  <c r="B15" i="42"/>
  <c r="B13" i="42"/>
  <c r="B14" i="42" s="1"/>
  <c r="B12" i="42"/>
  <c r="B10" i="42"/>
  <c r="B8" i="42"/>
  <c r="B4" i="42"/>
  <c r="B22" i="42" l="1"/>
  <c r="B9" i="42"/>
  <c r="B6" i="42"/>
  <c r="B7" i="42"/>
  <c r="H162" i="36" l="1"/>
  <c r="F162" i="36"/>
  <c r="H160" i="36"/>
  <c r="H161" i="36"/>
  <c r="F160" i="36"/>
  <c r="F161" i="36"/>
  <c r="I160" i="36" l="1"/>
  <c r="I162" i="36"/>
  <c r="I161" i="36"/>
  <c r="C123" i="35"/>
  <c r="C125" i="35" s="1"/>
  <c r="E118" i="35" s="1"/>
  <c r="F118" i="35" s="1"/>
  <c r="F119" i="35" s="1"/>
  <c r="C122" i="35"/>
  <c r="B122" i="35"/>
  <c r="F115" i="35"/>
  <c r="F114" i="35"/>
  <c r="F107" i="35"/>
  <c r="F108" i="35" s="1"/>
  <c r="F104" i="35"/>
  <c r="F103" i="35"/>
  <c r="F96" i="35"/>
  <c r="F95" i="35"/>
  <c r="F94" i="35"/>
  <c r="F93" i="35"/>
  <c r="F92" i="35"/>
  <c r="F90" i="35"/>
  <c r="F87" i="35"/>
  <c r="F86" i="35"/>
  <c r="F85" i="35"/>
  <c r="F84" i="35"/>
  <c r="F83" i="35"/>
  <c r="F82" i="35"/>
  <c r="F105" i="35" l="1"/>
  <c r="F109" i="35" s="1"/>
  <c r="J160" i="36" s="1"/>
  <c r="F116" i="35"/>
  <c r="F120" i="35" s="1"/>
  <c r="J161" i="36" s="1"/>
  <c r="F88" i="35"/>
  <c r="F97" i="35"/>
  <c r="F98" i="35" l="1"/>
  <c r="J159" i="36" s="1"/>
  <c r="F62" i="36"/>
  <c r="I62" i="36" s="1"/>
  <c r="F61" i="36"/>
  <c r="I61" i="36" s="1"/>
  <c r="F60" i="36"/>
  <c r="I60" i="36" s="1"/>
  <c r="F59" i="36"/>
  <c r="I59" i="36" s="1"/>
  <c r="I63" i="36"/>
  <c r="H63" i="36"/>
  <c r="F63" i="36"/>
  <c r="I289" i="36" l="1"/>
  <c r="H289" i="36"/>
  <c r="F289" i="36"/>
  <c r="I257" i="36"/>
  <c r="D28" i="2" s="1"/>
  <c r="C29" i="4" s="1"/>
  <c r="H416" i="36"/>
  <c r="F416" i="36"/>
  <c r="I248" i="36"/>
  <c r="H248" i="36"/>
  <c r="F248" i="36"/>
  <c r="I220" i="36"/>
  <c r="H220" i="36"/>
  <c r="F220" i="36"/>
  <c r="F246" i="36"/>
  <c r="I246" i="36" s="1"/>
  <c r="F242" i="36"/>
  <c r="I242" i="36" s="1"/>
  <c r="F241" i="36"/>
  <c r="I241" i="36" s="1"/>
  <c r="F240" i="36"/>
  <c r="I240" i="36" s="1"/>
  <c r="F227" i="36"/>
  <c r="I227" i="36" s="1"/>
  <c r="F226" i="36"/>
  <c r="I226" i="36" s="1"/>
  <c r="F224" i="36"/>
  <c r="I224" i="36" s="1"/>
  <c r="F223" i="36"/>
  <c r="I223" i="36" s="1"/>
  <c r="F222" i="36"/>
  <c r="I222" i="36" s="1"/>
  <c r="F221" i="36"/>
  <c r="I221" i="36" s="1"/>
  <c r="H204" i="36"/>
  <c r="F204" i="36"/>
  <c r="H203" i="36"/>
  <c r="F203" i="36"/>
  <c r="H202" i="36"/>
  <c r="F202" i="36"/>
  <c r="H201" i="36"/>
  <c r="F201" i="36"/>
  <c r="H200" i="36"/>
  <c r="F200" i="36"/>
  <c r="H199" i="36"/>
  <c r="F199" i="36"/>
  <c r="H198" i="36"/>
  <c r="F198" i="36"/>
  <c r="H197" i="36"/>
  <c r="F197" i="36"/>
  <c r="H196" i="36"/>
  <c r="F196" i="36"/>
  <c r="H195" i="36"/>
  <c r="F195" i="36"/>
  <c r="H194" i="36"/>
  <c r="F194" i="36"/>
  <c r="H193" i="36"/>
  <c r="F193" i="36"/>
  <c r="H192" i="36"/>
  <c r="F192" i="36"/>
  <c r="H175" i="36"/>
  <c r="F175" i="36"/>
  <c r="H174" i="36"/>
  <c r="F174" i="36"/>
  <c r="H173" i="36"/>
  <c r="F173" i="36"/>
  <c r="H172" i="36"/>
  <c r="F172" i="36"/>
  <c r="H171" i="36"/>
  <c r="F171" i="36"/>
  <c r="H170" i="36"/>
  <c r="F170" i="36"/>
  <c r="H169" i="36"/>
  <c r="F169" i="36"/>
  <c r="I168" i="36"/>
  <c r="H168" i="36"/>
  <c r="F168" i="36"/>
  <c r="I150" i="36"/>
  <c r="I156" i="36" s="1"/>
  <c r="H150" i="36"/>
  <c r="F150" i="36"/>
  <c r="I144" i="36"/>
  <c r="H144" i="36"/>
  <c r="F144" i="36"/>
  <c r="I131" i="36"/>
  <c r="H131" i="36"/>
  <c r="F131" i="36"/>
  <c r="F137" i="36"/>
  <c r="I137" i="36" s="1"/>
  <c r="F136" i="36"/>
  <c r="I136" i="36" s="1"/>
  <c r="F135" i="36"/>
  <c r="I135" i="36" s="1"/>
  <c r="F134" i="36"/>
  <c r="I134" i="36" s="1"/>
  <c r="I127" i="36"/>
  <c r="H127" i="36"/>
  <c r="F127" i="36"/>
  <c r="I112" i="36"/>
  <c r="H107" i="36"/>
  <c r="H108" i="36"/>
  <c r="H109" i="36"/>
  <c r="H110" i="36"/>
  <c r="H111" i="36"/>
  <c r="F107" i="36"/>
  <c r="F108" i="36"/>
  <c r="F109" i="36"/>
  <c r="F110" i="36"/>
  <c r="F111" i="36"/>
  <c r="H106" i="36"/>
  <c r="F106" i="36"/>
  <c r="H165" i="36"/>
  <c r="F165" i="36"/>
  <c r="I164" i="36"/>
  <c r="H164" i="36"/>
  <c r="F164" i="36"/>
  <c r="I158" i="36"/>
  <c r="H158" i="36"/>
  <c r="F158" i="36"/>
  <c r="H159" i="36"/>
  <c r="F159" i="36"/>
  <c r="I198" i="36" l="1"/>
  <c r="I159" i="36"/>
  <c r="I163" i="36" s="1"/>
  <c r="D24" i="2" s="1"/>
  <c r="C25" i="4" s="1"/>
  <c r="I165" i="36"/>
  <c r="G29" i="4"/>
  <c r="I29" i="4"/>
  <c r="K29" i="4"/>
  <c r="E29" i="4"/>
  <c r="I110" i="36"/>
  <c r="I108" i="36"/>
  <c r="I111" i="36"/>
  <c r="I107" i="36"/>
  <c r="I106" i="36"/>
  <c r="I109" i="36"/>
  <c r="I416" i="36"/>
  <c r="I422" i="36" s="1"/>
  <c r="D36" i="2" s="1"/>
  <c r="I170" i="36"/>
  <c r="I172" i="36"/>
  <c r="I174" i="36"/>
  <c r="I169" i="36"/>
  <c r="I171" i="36"/>
  <c r="I173" i="36"/>
  <c r="I197" i="36"/>
  <c r="I193" i="36"/>
  <c r="I195" i="36"/>
  <c r="I199" i="36"/>
  <c r="I203" i="36"/>
  <c r="I192" i="36"/>
  <c r="I194" i="36"/>
  <c r="I196" i="36"/>
  <c r="I201" i="36"/>
  <c r="I200" i="36"/>
  <c r="I202" i="36"/>
  <c r="I204" i="36"/>
  <c r="I175" i="36"/>
  <c r="I247" i="36"/>
  <c r="I88" i="36"/>
  <c r="H88" i="36"/>
  <c r="F88" i="36"/>
  <c r="F87" i="36"/>
  <c r="I87" i="36" s="1"/>
  <c r="F86" i="36"/>
  <c r="I86" i="36" s="1"/>
  <c r="F85" i="36"/>
  <c r="I85" i="36" s="1"/>
  <c r="F76" i="36"/>
  <c r="I76" i="36" s="1"/>
  <c r="F75" i="36"/>
  <c r="I75" i="36" s="1"/>
  <c r="F74" i="36"/>
  <c r="I74" i="36" s="1"/>
  <c r="F8" i="35"/>
  <c r="B12" i="35"/>
  <c r="B11" i="35"/>
  <c r="B10" i="35"/>
  <c r="B9" i="35"/>
  <c r="B8" i="35"/>
  <c r="F76" i="24"/>
  <c r="F75" i="24"/>
  <c r="F74" i="24"/>
  <c r="F73" i="24"/>
  <c r="F70" i="24"/>
  <c r="F69" i="24"/>
  <c r="I166" i="36" l="1"/>
  <c r="D25" i="2" s="1"/>
  <c r="C26" i="4" s="1"/>
  <c r="I113" i="36"/>
  <c r="D20" i="2" s="1"/>
  <c r="C21" i="4" s="1"/>
  <c r="K21" i="4" s="1"/>
  <c r="G25" i="4"/>
  <c r="K25" i="4"/>
  <c r="I25" i="4"/>
  <c r="E25" i="4"/>
  <c r="I219" i="36"/>
  <c r="F71" i="24"/>
  <c r="F77" i="24"/>
  <c r="F52" i="35"/>
  <c r="F53" i="35" s="1"/>
  <c r="F49" i="35"/>
  <c r="F48" i="35"/>
  <c r="F45" i="35"/>
  <c r="F44" i="35"/>
  <c r="F37" i="35"/>
  <c r="F38" i="35" s="1"/>
  <c r="F34" i="35"/>
  <c r="F33" i="35"/>
  <c r="F19" i="35"/>
  <c r="F18" i="35"/>
  <c r="F23" i="35"/>
  <c r="F24" i="35"/>
  <c r="F25" i="35"/>
  <c r="F26" i="35"/>
  <c r="F22" i="35"/>
  <c r="F51" i="36"/>
  <c r="I51" i="36" s="1"/>
  <c r="H38" i="36"/>
  <c r="F38" i="36"/>
  <c r="H29" i="36"/>
  <c r="H28" i="36"/>
  <c r="F28" i="36"/>
  <c r="F29" i="36"/>
  <c r="K26" i="4" l="1"/>
  <c r="I26" i="4"/>
  <c r="F78" i="24"/>
  <c r="J33" i="36" s="1"/>
  <c r="I38" i="36"/>
  <c r="I21" i="4"/>
  <c r="F57" i="35"/>
  <c r="F20" i="35"/>
  <c r="F50" i="35"/>
  <c r="F46" i="35"/>
  <c r="F27" i="35"/>
  <c r="F35" i="35"/>
  <c r="F39" i="35" s="1"/>
  <c r="J52" i="36" s="1"/>
  <c r="I29" i="36"/>
  <c r="I28" i="36"/>
  <c r="F58" i="35" l="1"/>
  <c r="J53" i="36" s="1"/>
  <c r="F28" i="35"/>
  <c r="J50" i="36" s="1"/>
  <c r="H115" i="36" l="1"/>
  <c r="F115" i="36"/>
  <c r="H123" i="36"/>
  <c r="F123" i="36"/>
  <c r="I115" i="36" l="1"/>
  <c r="I123" i="36"/>
  <c r="B40" i="2" l="1"/>
  <c r="B11" i="2"/>
  <c r="B10" i="2"/>
  <c r="E10" i="2"/>
  <c r="M8" i="4" s="1"/>
  <c r="D10" i="2"/>
  <c r="L8" i="4" s="1"/>
  <c r="E9" i="2"/>
  <c r="D9" i="2"/>
  <c r="L9" i="4" s="1"/>
  <c r="E8" i="2"/>
  <c r="D8" i="2"/>
  <c r="B38" i="4"/>
  <c r="A38" i="4"/>
  <c r="B37" i="4"/>
  <c r="A37" i="4"/>
  <c r="B34" i="2"/>
  <c r="A34" i="2"/>
  <c r="B33" i="2"/>
  <c r="B34" i="4" s="1"/>
  <c r="A33" i="2"/>
  <c r="A34" i="4" s="1"/>
  <c r="B32" i="2"/>
  <c r="B33" i="4" s="1"/>
  <c r="A32" i="2"/>
  <c r="A33" i="4" s="1"/>
  <c r="B31" i="2"/>
  <c r="B32" i="4" s="1"/>
  <c r="A31" i="2"/>
  <c r="A32" i="4" s="1"/>
  <c r="B29" i="2"/>
  <c r="A29" i="2"/>
  <c r="B26" i="2"/>
  <c r="A26" i="2"/>
  <c r="B23" i="2"/>
  <c r="A23" i="2"/>
  <c r="B22" i="2"/>
  <c r="A22" i="2"/>
  <c r="B21" i="2"/>
  <c r="A21" i="2"/>
  <c r="B19" i="2"/>
  <c r="B20" i="4" s="1"/>
  <c r="A19" i="2"/>
  <c r="A20" i="4" s="1"/>
  <c r="B18" i="2"/>
  <c r="A18" i="2"/>
  <c r="B17" i="2"/>
  <c r="A17" i="2"/>
  <c r="B16" i="2"/>
  <c r="A16" i="2"/>
  <c r="B15" i="2"/>
  <c r="A15" i="2"/>
  <c r="B9" i="2"/>
  <c r="B8" i="2"/>
  <c r="B7" i="2"/>
  <c r="A11" i="2"/>
  <c r="A10" i="4" s="1"/>
  <c r="A10" i="2"/>
  <c r="A9" i="4" s="1"/>
  <c r="A9" i="2"/>
  <c r="A8" i="4" s="1"/>
  <c r="A8" i="2"/>
  <c r="A7" i="4" s="1"/>
  <c r="F8" i="24" l="1"/>
  <c r="B12" i="24"/>
  <c r="B11" i="24"/>
  <c r="B10" i="24"/>
  <c r="B9" i="24"/>
  <c r="B8" i="24"/>
  <c r="H424" i="36"/>
  <c r="F424" i="36"/>
  <c r="I423" i="36"/>
  <c r="H423" i="36"/>
  <c r="F423" i="36"/>
  <c r="H404" i="36"/>
  <c r="F404" i="36"/>
  <c r="I403" i="36"/>
  <c r="H403" i="36"/>
  <c r="F403" i="36"/>
  <c r="F401" i="36"/>
  <c r="I401" i="36" s="1"/>
  <c r="H399" i="36"/>
  <c r="F399" i="36"/>
  <c r="I398" i="36"/>
  <c r="H398" i="36"/>
  <c r="F398" i="36"/>
  <c r="H397" i="36"/>
  <c r="F397" i="36"/>
  <c r="H396" i="36"/>
  <c r="F396" i="36"/>
  <c r="H395" i="36"/>
  <c r="F395" i="36"/>
  <c r="H394" i="36"/>
  <c r="F394" i="36"/>
  <c r="H393" i="36"/>
  <c r="F393" i="36"/>
  <c r="I392" i="36"/>
  <c r="H392" i="36"/>
  <c r="F392" i="36"/>
  <c r="H391" i="36"/>
  <c r="F391" i="36"/>
  <c r="H390" i="36"/>
  <c r="F390" i="36"/>
  <c r="H389" i="36"/>
  <c r="F389" i="36"/>
  <c r="H388" i="36"/>
  <c r="F388" i="36"/>
  <c r="H387" i="36"/>
  <c r="F387" i="36"/>
  <c r="H384" i="36"/>
  <c r="F384" i="36"/>
  <c r="H383" i="36"/>
  <c r="F383" i="36"/>
  <c r="H382" i="36"/>
  <c r="F382" i="36"/>
  <c r="H381" i="36"/>
  <c r="F381" i="36"/>
  <c r="H378" i="36"/>
  <c r="F378" i="36"/>
  <c r="H377" i="36"/>
  <c r="F377" i="36"/>
  <c r="H376" i="36"/>
  <c r="F376" i="36"/>
  <c r="H375" i="36"/>
  <c r="F375" i="36"/>
  <c r="H374" i="36"/>
  <c r="F374" i="36"/>
  <c r="H373" i="36"/>
  <c r="F373" i="36"/>
  <c r="H372" i="36"/>
  <c r="F372" i="36"/>
  <c r="I370" i="36"/>
  <c r="H370" i="36"/>
  <c r="F370" i="36"/>
  <c r="H365" i="36"/>
  <c r="F365" i="36"/>
  <c r="H363" i="36"/>
  <c r="F363" i="36"/>
  <c r="F361" i="36"/>
  <c r="H358" i="36"/>
  <c r="H357" i="36"/>
  <c r="F357" i="36"/>
  <c r="H356" i="36"/>
  <c r="F356" i="36"/>
  <c r="H355" i="36"/>
  <c r="F355" i="36"/>
  <c r="H354" i="36"/>
  <c r="H353" i="36"/>
  <c r="F353" i="36"/>
  <c r="H352" i="36"/>
  <c r="F352" i="36"/>
  <c r="H351" i="36"/>
  <c r="F351" i="36"/>
  <c r="H350" i="36"/>
  <c r="F350" i="36"/>
  <c r="H349" i="36"/>
  <c r="F349" i="36"/>
  <c r="F347" i="36"/>
  <c r="H346" i="36"/>
  <c r="F346" i="36"/>
  <c r="H344" i="36"/>
  <c r="F344" i="36"/>
  <c r="H343" i="36"/>
  <c r="F343" i="36"/>
  <c r="H338" i="36"/>
  <c r="F338" i="36"/>
  <c r="H337" i="36"/>
  <c r="F337" i="36"/>
  <c r="H329" i="36"/>
  <c r="F329" i="36"/>
  <c r="H328" i="36"/>
  <c r="F328" i="36"/>
  <c r="H325" i="36"/>
  <c r="F325" i="36"/>
  <c r="H324" i="36"/>
  <c r="F324" i="36"/>
  <c r="H323" i="36"/>
  <c r="F323" i="36"/>
  <c r="H322" i="36"/>
  <c r="F322" i="36"/>
  <c r="H321" i="36"/>
  <c r="F321" i="36"/>
  <c r="H320" i="36"/>
  <c r="F320" i="36"/>
  <c r="H319" i="36"/>
  <c r="F319" i="36"/>
  <c r="H317" i="36"/>
  <c r="F317" i="36"/>
  <c r="H316" i="36"/>
  <c r="F316" i="36"/>
  <c r="H315" i="36"/>
  <c r="F315" i="36"/>
  <c r="H314" i="36"/>
  <c r="F314" i="36"/>
  <c r="H313" i="36"/>
  <c r="F313" i="36"/>
  <c r="H312" i="36"/>
  <c r="F312" i="36"/>
  <c r="H311" i="36"/>
  <c r="F311" i="36"/>
  <c r="H310" i="36"/>
  <c r="F310" i="36"/>
  <c r="H309" i="36"/>
  <c r="F309" i="36"/>
  <c r="H308" i="36"/>
  <c r="F308" i="36"/>
  <c r="H287" i="36"/>
  <c r="F287" i="36"/>
  <c r="H286" i="36"/>
  <c r="F286" i="36"/>
  <c r="H285" i="36"/>
  <c r="F285" i="36"/>
  <c r="H284" i="36"/>
  <c r="F284" i="36"/>
  <c r="H283" i="36"/>
  <c r="F283" i="36"/>
  <c r="H282" i="36"/>
  <c r="F282" i="36"/>
  <c r="H281" i="36"/>
  <c r="F281" i="36"/>
  <c r="H280" i="36"/>
  <c r="F280" i="36"/>
  <c r="H279" i="36"/>
  <c r="F279" i="36"/>
  <c r="H278" i="36"/>
  <c r="F278" i="36"/>
  <c r="H277" i="36"/>
  <c r="F277" i="36"/>
  <c r="H276" i="36"/>
  <c r="F276" i="36"/>
  <c r="H275" i="36"/>
  <c r="F275" i="36"/>
  <c r="H274" i="36"/>
  <c r="F274" i="36"/>
  <c r="H273" i="36"/>
  <c r="F273" i="36"/>
  <c r="H272" i="36"/>
  <c r="F272" i="36"/>
  <c r="H271" i="36"/>
  <c r="F271" i="36"/>
  <c r="H270" i="36"/>
  <c r="F270" i="36"/>
  <c r="H269" i="36"/>
  <c r="F269" i="36"/>
  <c r="H268" i="36"/>
  <c r="F268" i="36"/>
  <c r="H267" i="36"/>
  <c r="F267" i="36"/>
  <c r="H266" i="36"/>
  <c r="F266" i="36"/>
  <c r="H265" i="36"/>
  <c r="F265" i="36"/>
  <c r="H264" i="36"/>
  <c r="F264" i="36"/>
  <c r="H263" i="36"/>
  <c r="F263" i="36"/>
  <c r="H261" i="36"/>
  <c r="F261" i="36"/>
  <c r="H260" i="36"/>
  <c r="F260" i="36"/>
  <c r="H259" i="36"/>
  <c r="F259" i="36"/>
  <c r="I258" i="36"/>
  <c r="H258" i="36"/>
  <c r="F258" i="36"/>
  <c r="I167" i="36"/>
  <c r="H167" i="36"/>
  <c r="F167" i="36"/>
  <c r="F133" i="36"/>
  <c r="I133" i="36" s="1"/>
  <c r="H132" i="36"/>
  <c r="F132" i="36"/>
  <c r="H129" i="36"/>
  <c r="F129" i="36"/>
  <c r="H128" i="36"/>
  <c r="F128" i="36"/>
  <c r="I126" i="36"/>
  <c r="H126" i="36"/>
  <c r="F126" i="36"/>
  <c r="H121" i="36"/>
  <c r="F121" i="36"/>
  <c r="I114" i="36"/>
  <c r="H114" i="36"/>
  <c r="F114" i="36"/>
  <c r="H103" i="36"/>
  <c r="F103" i="36"/>
  <c r="H102" i="36"/>
  <c r="F102" i="36"/>
  <c r="H100" i="36"/>
  <c r="F100" i="36"/>
  <c r="H99" i="36"/>
  <c r="F99" i="36"/>
  <c r="H98" i="36"/>
  <c r="F98" i="36"/>
  <c r="H96" i="36"/>
  <c r="H84" i="36"/>
  <c r="F84" i="36"/>
  <c r="H83" i="36"/>
  <c r="F83" i="36"/>
  <c r="H82" i="36"/>
  <c r="F82" i="36"/>
  <c r="H81" i="36"/>
  <c r="F81" i="36"/>
  <c r="H80" i="36"/>
  <c r="F80" i="36"/>
  <c r="H79" i="36"/>
  <c r="F79" i="36"/>
  <c r="H78" i="36"/>
  <c r="F78" i="36"/>
  <c r="I77" i="36"/>
  <c r="H77" i="36"/>
  <c r="F77" i="36"/>
  <c r="H73" i="36"/>
  <c r="F73" i="36"/>
  <c r="H72" i="36"/>
  <c r="F72" i="36"/>
  <c r="H71" i="36"/>
  <c r="F71" i="36"/>
  <c r="H70" i="36"/>
  <c r="F70" i="36"/>
  <c r="I69" i="36"/>
  <c r="H69" i="36"/>
  <c r="F69" i="36"/>
  <c r="H68" i="36"/>
  <c r="F68" i="36"/>
  <c r="H67" i="36"/>
  <c r="F67" i="36"/>
  <c r="H66" i="36"/>
  <c r="F66" i="36"/>
  <c r="H65" i="36"/>
  <c r="F65" i="36"/>
  <c r="H58" i="36"/>
  <c r="F58" i="36"/>
  <c r="H57" i="36"/>
  <c r="F57" i="36"/>
  <c r="H56" i="36"/>
  <c r="F56" i="36"/>
  <c r="H55" i="36"/>
  <c r="F55" i="36"/>
  <c r="I54" i="36"/>
  <c r="H54" i="36"/>
  <c r="F54" i="36"/>
  <c r="F53" i="36"/>
  <c r="I53" i="36" s="1"/>
  <c r="F52" i="36"/>
  <c r="I52" i="36" s="1"/>
  <c r="H50" i="36"/>
  <c r="I49" i="36"/>
  <c r="H49" i="36"/>
  <c r="F49" i="36"/>
  <c r="H48" i="36"/>
  <c r="F48" i="36"/>
  <c r="H47" i="36"/>
  <c r="F47" i="36"/>
  <c r="H46" i="36"/>
  <c r="F46" i="36"/>
  <c r="H45" i="36"/>
  <c r="F45" i="36"/>
  <c r="H44" i="36"/>
  <c r="F44" i="36"/>
  <c r="H43" i="36"/>
  <c r="F43" i="36"/>
  <c r="H42" i="36"/>
  <c r="F42" i="36"/>
  <c r="I41" i="36"/>
  <c r="H41" i="36"/>
  <c r="F41" i="36"/>
  <c r="H37" i="36"/>
  <c r="F37" i="36"/>
  <c r="H36" i="36"/>
  <c r="F36" i="36"/>
  <c r="H33" i="36"/>
  <c r="F33" i="36"/>
  <c r="H32" i="36"/>
  <c r="F32" i="36"/>
  <c r="H31" i="36"/>
  <c r="F31" i="36"/>
  <c r="H30" i="36"/>
  <c r="F30" i="36"/>
  <c r="H27" i="36"/>
  <c r="F27" i="36"/>
  <c r="H26" i="36"/>
  <c r="F26" i="36"/>
  <c r="H25" i="36"/>
  <c r="F25" i="36"/>
  <c r="H24" i="36"/>
  <c r="F24" i="36"/>
  <c r="H23" i="36"/>
  <c r="F23" i="36"/>
  <c r="H22" i="36"/>
  <c r="F22" i="36"/>
  <c r="H21" i="36"/>
  <c r="F21" i="36"/>
  <c r="H20" i="36"/>
  <c r="F20" i="36"/>
  <c r="H19" i="36"/>
  <c r="F19" i="36"/>
  <c r="H16" i="36"/>
  <c r="F16" i="36"/>
  <c r="C167" i="24"/>
  <c r="I315" i="36" l="1"/>
  <c r="I381" i="36"/>
  <c r="I383" i="36"/>
  <c r="I399" i="36"/>
  <c r="I100" i="36"/>
  <c r="I71" i="36"/>
  <c r="I324" i="36"/>
  <c r="I357" i="36"/>
  <c r="I73" i="36"/>
  <c r="I263" i="36"/>
  <c r="I20" i="36"/>
  <c r="I309" i="36"/>
  <c r="I338" i="36"/>
  <c r="I344" i="36"/>
  <c r="I121" i="36"/>
  <c r="I26" i="36"/>
  <c r="I267" i="36"/>
  <c r="I273" i="36"/>
  <c r="I390" i="36"/>
  <c r="I271" i="36"/>
  <c r="I388" i="36"/>
  <c r="I46" i="36"/>
  <c r="I81" i="36"/>
  <c r="I68" i="36"/>
  <c r="I30" i="36"/>
  <c r="I280" i="36"/>
  <c r="I283" i="36"/>
  <c r="I286" i="36"/>
  <c r="I317" i="36"/>
  <c r="I382" i="36"/>
  <c r="I55" i="36"/>
  <c r="I66" i="36"/>
  <c r="I373" i="36"/>
  <c r="I23" i="36"/>
  <c r="I32" i="36"/>
  <c r="I276" i="36"/>
  <c r="I58" i="36"/>
  <c r="I78" i="36"/>
  <c r="I80" i="36"/>
  <c r="I353" i="36"/>
  <c r="I363" i="36"/>
  <c r="I365" i="36"/>
  <c r="I384" i="36"/>
  <c r="I393" i="36"/>
  <c r="I397" i="36"/>
  <c r="I25" i="36"/>
  <c r="I27" i="36"/>
  <c r="I45" i="36"/>
  <c r="I50" i="36"/>
  <c r="I99" i="36"/>
  <c r="I103" i="36"/>
  <c r="I129" i="36"/>
  <c r="I268" i="36"/>
  <c r="I281" i="36"/>
  <c r="I285" i="36"/>
  <c r="I312" i="36"/>
  <c r="I314" i="36"/>
  <c r="I350" i="36"/>
  <c r="I352" i="36"/>
  <c r="I375" i="36"/>
  <c r="I377" i="36"/>
  <c r="I394" i="36"/>
  <c r="I396" i="36"/>
  <c r="I374" i="36"/>
  <c r="I378" i="36"/>
  <c r="I389" i="36"/>
  <c r="I391" i="36"/>
  <c r="I42" i="36"/>
  <c r="I47" i="36"/>
  <c r="I82" i="36"/>
  <c r="I84" i="36"/>
  <c r="I98" i="36"/>
  <c r="I128" i="36"/>
  <c r="I259" i="36"/>
  <c r="I261" i="36"/>
  <c r="I266" i="36"/>
  <c r="I282" i="36"/>
  <c r="I308" i="36"/>
  <c r="I310" i="36"/>
  <c r="I321" i="36"/>
  <c r="I323" i="36"/>
  <c r="I328" i="36"/>
  <c r="I337" i="36"/>
  <c r="I355" i="36"/>
  <c r="I65" i="36"/>
  <c r="I72" i="36"/>
  <c r="I79" i="36"/>
  <c r="I322" i="36"/>
  <c r="I19" i="36"/>
  <c r="I48" i="36"/>
  <c r="I277" i="36"/>
  <c r="I22" i="36"/>
  <c r="I36" i="36"/>
  <c r="I67" i="36"/>
  <c r="I70" i="36"/>
  <c r="I132" i="36"/>
  <c r="I349" i="36"/>
  <c r="I395" i="36"/>
  <c r="I404" i="36"/>
  <c r="I320" i="36"/>
  <c r="I325" i="36"/>
  <c r="I343" i="36"/>
  <c r="I354" i="36"/>
  <c r="I356" i="36"/>
  <c r="I372" i="36"/>
  <c r="I16" i="36"/>
  <c r="I17" i="36" s="1"/>
  <c r="I21" i="36"/>
  <c r="I24" i="36"/>
  <c r="I31" i="36"/>
  <c r="I33" i="36"/>
  <c r="I44" i="36"/>
  <c r="I57" i="36"/>
  <c r="I83" i="36"/>
  <c r="I102" i="36"/>
  <c r="I260" i="36"/>
  <c r="I265" i="36"/>
  <c r="I269" i="36"/>
  <c r="I272" i="36"/>
  <c r="I274" i="36"/>
  <c r="I279" i="36"/>
  <c r="I284" i="36"/>
  <c r="I287" i="36"/>
  <c r="I313" i="36"/>
  <c r="I319" i="36"/>
  <c r="I329" i="36"/>
  <c r="I346" i="36"/>
  <c r="I351" i="36"/>
  <c r="I358" i="36"/>
  <c r="I376" i="36"/>
  <c r="I387" i="36"/>
  <c r="I424" i="36"/>
  <c r="I270" i="36"/>
  <c r="I275" i="36"/>
  <c r="I311" i="36"/>
  <c r="I316" i="36"/>
  <c r="I43" i="36"/>
  <c r="I56" i="36"/>
  <c r="I264" i="36"/>
  <c r="I278" i="36"/>
  <c r="I37" i="36"/>
  <c r="I96" i="36"/>
  <c r="F503" i="24"/>
  <c r="F502" i="24"/>
  <c r="F501" i="24"/>
  <c r="F500" i="24"/>
  <c r="F497" i="24"/>
  <c r="F496" i="24"/>
  <c r="F462" i="24"/>
  <c r="F461" i="24"/>
  <c r="F460" i="24"/>
  <c r="F457" i="24"/>
  <c r="F456" i="24"/>
  <c r="F448" i="24"/>
  <c r="F447" i="24"/>
  <c r="F444" i="24"/>
  <c r="F443" i="24"/>
  <c r="F278" i="24"/>
  <c r="F277" i="24"/>
  <c r="F274" i="24"/>
  <c r="F273" i="24"/>
  <c r="F266" i="24"/>
  <c r="F265" i="24"/>
  <c r="F262" i="24"/>
  <c r="F261" i="24"/>
  <c r="F157" i="24"/>
  <c r="F159" i="24" s="1"/>
  <c r="F140" i="24"/>
  <c r="F139" i="24"/>
  <c r="F137" i="24"/>
  <c r="C131" i="24"/>
  <c r="F123" i="24"/>
  <c r="F122" i="24"/>
  <c r="F119" i="24"/>
  <c r="F118" i="24"/>
  <c r="C97" i="24"/>
  <c r="G88" i="24" s="1"/>
  <c r="F87" i="24"/>
  <c r="F84" i="24"/>
  <c r="F83" i="24"/>
  <c r="F240" i="24"/>
  <c r="F241" i="24" s="1"/>
  <c r="F237" i="24"/>
  <c r="F238" i="24" s="1"/>
  <c r="F62" i="24"/>
  <c r="F61" i="24"/>
  <c r="F60" i="24"/>
  <c r="F59" i="24"/>
  <c r="F58" i="24"/>
  <c r="F57" i="24"/>
  <c r="F56" i="24"/>
  <c r="F55" i="24"/>
  <c r="F54" i="24"/>
  <c r="F53" i="24"/>
  <c r="F52" i="24"/>
  <c r="F51" i="24"/>
  <c r="F50" i="24"/>
  <c r="F49" i="24"/>
  <c r="F48" i="24"/>
  <c r="F47" i="24"/>
  <c r="F46" i="24"/>
  <c r="F43" i="24"/>
  <c r="F42" i="24"/>
  <c r="F35" i="24"/>
  <c r="F34" i="24"/>
  <c r="F33" i="24"/>
  <c r="F32" i="24"/>
  <c r="F31" i="24"/>
  <c r="F28" i="24"/>
  <c r="F27" i="24"/>
  <c r="F18" i="24"/>
  <c r="F17" i="24"/>
  <c r="F431" i="31"/>
  <c r="F430" i="31"/>
  <c r="F429" i="31"/>
  <c r="F426" i="31"/>
  <c r="F425" i="31"/>
  <c r="F226" i="31"/>
  <c r="F225" i="31"/>
  <c r="F224" i="31"/>
  <c r="F223" i="31"/>
  <c r="F222" i="31"/>
  <c r="F221" i="31"/>
  <c r="F220" i="31"/>
  <c r="F219" i="31"/>
  <c r="F218" i="31"/>
  <c r="F215" i="31"/>
  <c r="F214" i="31"/>
  <c r="C392" i="31"/>
  <c r="F384" i="31" s="1"/>
  <c r="F385" i="31" s="1"/>
  <c r="F381" i="31"/>
  <c r="F380" i="31"/>
  <c r="C347" i="31"/>
  <c r="F339" i="31"/>
  <c r="F340" i="31" s="1"/>
  <c r="F336" i="31"/>
  <c r="F335" i="31"/>
  <c r="F328" i="31"/>
  <c r="F327" i="31"/>
  <c r="F324" i="31"/>
  <c r="F323" i="31"/>
  <c r="F133" i="31"/>
  <c r="F134" i="31" s="1"/>
  <c r="F130" i="31"/>
  <c r="F129" i="31"/>
  <c r="C124" i="31"/>
  <c r="F116" i="31"/>
  <c r="F117" i="31" s="1"/>
  <c r="F113" i="31"/>
  <c r="F112" i="31"/>
  <c r="C107" i="31"/>
  <c r="F99" i="31"/>
  <c r="F100" i="31" s="1"/>
  <c r="F96" i="31"/>
  <c r="F95" i="31"/>
  <c r="C90" i="31"/>
  <c r="F82" i="31"/>
  <c r="F83" i="31" s="1"/>
  <c r="F79" i="31"/>
  <c r="F78" i="31"/>
  <c r="C57" i="31"/>
  <c r="F49" i="31"/>
  <c r="F50" i="31" s="1"/>
  <c r="F46" i="31"/>
  <c r="F47" i="31" s="1"/>
  <c r="F33" i="31"/>
  <c r="F34" i="31" s="1"/>
  <c r="F30" i="31"/>
  <c r="F29" i="31"/>
  <c r="F22" i="31"/>
  <c r="F23" i="31" s="1"/>
  <c r="F19" i="31"/>
  <c r="F18" i="31"/>
  <c r="F284" i="29"/>
  <c r="F281" i="29"/>
  <c r="F280" i="29"/>
  <c r="F273" i="29"/>
  <c r="F272" i="29"/>
  <c r="F271" i="29"/>
  <c r="F268" i="29"/>
  <c r="F267" i="29"/>
  <c r="F260" i="29"/>
  <c r="F259" i="29"/>
  <c r="F258" i="29"/>
  <c r="F255" i="29"/>
  <c r="F254" i="29"/>
  <c r="F247" i="29"/>
  <c r="F244" i="29"/>
  <c r="F243" i="29"/>
  <c r="F236" i="29"/>
  <c r="F235" i="29"/>
  <c r="F232" i="29"/>
  <c r="F231" i="29"/>
  <c r="F224" i="29"/>
  <c r="F222" i="29"/>
  <c r="F219" i="29"/>
  <c r="F218"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F74" i="35"/>
  <c r="F70" i="35"/>
  <c r="F69" i="35"/>
  <c r="F66" i="35"/>
  <c r="F65" i="35"/>
  <c r="F64" i="35"/>
  <c r="F63" i="35"/>
  <c r="D15" i="2" l="1"/>
  <c r="F450" i="24"/>
  <c r="I369" i="36"/>
  <c r="D34" i="2" s="1"/>
  <c r="I334" i="36"/>
  <c r="D31" i="2" s="1"/>
  <c r="C32" i="4" s="1"/>
  <c r="I32" i="4" s="1"/>
  <c r="F144" i="29"/>
  <c r="F67" i="29"/>
  <c r="F158" i="29"/>
  <c r="F245" i="29"/>
  <c r="F256" i="29"/>
  <c r="F147" i="29"/>
  <c r="F101" i="29"/>
  <c r="F155" i="29"/>
  <c r="F166" i="29"/>
  <c r="F220" i="29"/>
  <c r="F248" i="29"/>
  <c r="F269" i="29"/>
  <c r="F282" i="29"/>
  <c r="F114" i="29"/>
  <c r="F20" i="29"/>
  <c r="F48" i="29"/>
  <c r="F75" i="29"/>
  <c r="F93" i="29"/>
  <c r="F233" i="29"/>
  <c r="F120" i="29"/>
  <c r="F261" i="29"/>
  <c r="F274" i="29"/>
  <c r="F285" i="29"/>
  <c r="F26" i="29"/>
  <c r="F34" i="29"/>
  <c r="F62" i="29"/>
  <c r="F79" i="29"/>
  <c r="F87" i="29"/>
  <c r="F106" i="29"/>
  <c r="F225" i="29"/>
  <c r="F237" i="29"/>
  <c r="F54" i="29"/>
  <c r="F40" i="29"/>
  <c r="I94" i="36"/>
  <c r="D18" i="2" s="1"/>
  <c r="I406" i="36"/>
  <c r="D35" i="2" s="1"/>
  <c r="I104" i="36"/>
  <c r="D19" i="2" s="1"/>
  <c r="C20" i="4" s="1"/>
  <c r="F170" i="29"/>
  <c r="F141" i="24"/>
  <c r="F142" i="24" s="1"/>
  <c r="J128" i="36" s="1"/>
  <c r="F432" i="31"/>
  <c r="F329" i="31"/>
  <c r="F427" i="31"/>
  <c r="F337" i="31"/>
  <c r="F341" i="31" s="1"/>
  <c r="J182" i="36" s="1"/>
  <c r="F382" i="31"/>
  <c r="F386" i="31" s="1"/>
  <c r="J198" i="36" s="1"/>
  <c r="F80" i="31"/>
  <c r="F84" i="31" s="1"/>
  <c r="J226" i="36" s="1"/>
  <c r="F97" i="31"/>
  <c r="F101" i="31" s="1"/>
  <c r="J239" i="36" s="1"/>
  <c r="F114" i="31"/>
  <c r="F118" i="31" s="1"/>
  <c r="J240" i="36" s="1"/>
  <c r="F325" i="31"/>
  <c r="F31" i="31"/>
  <c r="F35" i="31" s="1"/>
  <c r="J225" i="36" s="1"/>
  <c r="F51" i="31"/>
  <c r="J224" i="36" s="1"/>
  <c r="F216" i="31"/>
  <c r="F227" i="31"/>
  <c r="F131" i="31"/>
  <c r="F135" i="31" s="1"/>
  <c r="J246" i="36" s="1"/>
  <c r="F20" i="31"/>
  <c r="F24" i="31" s="1"/>
  <c r="J221" i="36" s="1"/>
  <c r="I125" i="36"/>
  <c r="D21" i="2" s="1"/>
  <c r="C22" i="4" s="1"/>
  <c r="I142" i="36"/>
  <c r="D22" i="2" s="1"/>
  <c r="F120" i="24"/>
  <c r="F85" i="24"/>
  <c r="F44" i="24"/>
  <c r="F242" i="24"/>
  <c r="J106" i="36" s="1"/>
  <c r="F267" i="24"/>
  <c r="F160" i="24"/>
  <c r="J402" i="36" s="1"/>
  <c r="F263" i="24"/>
  <c r="F275" i="24"/>
  <c r="F445" i="24"/>
  <c r="F463" i="24"/>
  <c r="F89" i="24"/>
  <c r="D23" i="2"/>
  <c r="F29" i="24"/>
  <c r="F63" i="24"/>
  <c r="K384" i="36"/>
  <c r="C37" i="4"/>
  <c r="I37" i="4" s="1"/>
  <c r="I39" i="36"/>
  <c r="D17" i="2" s="1"/>
  <c r="I361" i="36"/>
  <c r="D33" i="2" s="1"/>
  <c r="C34" i="4" s="1"/>
  <c r="I34" i="4" s="1"/>
  <c r="I288" i="36"/>
  <c r="D29" i="2" s="1"/>
  <c r="D26" i="2"/>
  <c r="I347" i="36"/>
  <c r="D32" i="2" s="1"/>
  <c r="C33" i="4" s="1"/>
  <c r="I33" i="4" s="1"/>
  <c r="D27" i="2"/>
  <c r="I427" i="36"/>
  <c r="I34" i="36"/>
  <c r="D16" i="2" s="1"/>
  <c r="F67" i="35"/>
  <c r="F75" i="35"/>
  <c r="F458" i="24"/>
  <c r="F124" i="24"/>
  <c r="F19" i="24"/>
  <c r="F20" i="24" s="1"/>
  <c r="J16" i="36" s="1"/>
  <c r="F36" i="24"/>
  <c r="F498" i="24"/>
  <c r="F279" i="24"/>
  <c r="F504" i="24"/>
  <c r="I428" i="36" l="1"/>
  <c r="E429" i="36" s="1"/>
  <c r="F451" i="24"/>
  <c r="J363" i="36" s="1"/>
  <c r="D37" i="2"/>
  <c r="C38" i="4" s="1"/>
  <c r="I38" i="4" s="1"/>
  <c r="F41" i="29"/>
  <c r="J261" i="36" s="1"/>
  <c r="F148" i="29"/>
  <c r="J284" i="36" s="1"/>
  <c r="F159" i="29"/>
  <c r="J285" i="36" s="1"/>
  <c r="F262" i="29"/>
  <c r="J326" i="36" s="1"/>
  <c r="F249" i="29"/>
  <c r="J332" i="36" s="1"/>
  <c r="F171" i="29"/>
  <c r="F27" i="29"/>
  <c r="J260" i="36" s="1"/>
  <c r="F226" i="29"/>
  <c r="J325" i="36" s="1"/>
  <c r="F286" i="29"/>
  <c r="J328" i="36" s="1"/>
  <c r="F121" i="29"/>
  <c r="J280" i="36" s="1"/>
  <c r="F275" i="29"/>
  <c r="J327" i="36" s="1"/>
  <c r="F94" i="29"/>
  <c r="J277" i="36" s="1"/>
  <c r="F55" i="29"/>
  <c r="J262" i="36" s="1"/>
  <c r="F68" i="29"/>
  <c r="J263" i="36" s="1"/>
  <c r="F107" i="29"/>
  <c r="J278" i="36" s="1"/>
  <c r="F238" i="29"/>
  <c r="J330" i="36" s="1"/>
  <c r="F80" i="29"/>
  <c r="J267" i="36" s="1"/>
  <c r="K20" i="4"/>
  <c r="I20" i="4"/>
  <c r="K22" i="4"/>
  <c r="I22" i="4"/>
  <c r="E34" i="4"/>
  <c r="G34" i="4"/>
  <c r="K34" i="4"/>
  <c r="G32" i="4"/>
  <c r="K32" i="4"/>
  <c r="E32" i="4"/>
  <c r="G33" i="4"/>
  <c r="K33" i="4"/>
  <c r="E33" i="4"/>
  <c r="K37" i="4"/>
  <c r="G37" i="4"/>
  <c r="E37" i="4"/>
  <c r="F433" i="31"/>
  <c r="J213" i="36" s="1"/>
  <c r="F330" i="31"/>
  <c r="J170" i="36" s="1"/>
  <c r="F228" i="31"/>
  <c r="J229" i="36" s="1"/>
  <c r="F125" i="24"/>
  <c r="F90" i="24"/>
  <c r="J134" i="36" s="1"/>
  <c r="F464" i="24"/>
  <c r="J365" i="36" s="1"/>
  <c r="F37" i="24"/>
  <c r="J19" i="36" s="1"/>
  <c r="F64" i="24"/>
  <c r="J25" i="36" s="1"/>
  <c r="F280" i="24"/>
  <c r="J300" i="36" s="1"/>
  <c r="F268" i="24"/>
  <c r="J299" i="36" s="1"/>
  <c r="K428" i="36"/>
  <c r="F76" i="35"/>
  <c r="J64" i="36" s="1"/>
  <c r="F505" i="24"/>
  <c r="J165" i="36" s="1"/>
  <c r="K38" i="4" l="1"/>
  <c r="G38" i="4"/>
  <c r="E38" i="4"/>
  <c r="J290" i="36"/>
  <c r="J298" i="36"/>
  <c r="G140" i="24"/>
  <c r="D25" i="26" l="1"/>
  <c r="C23" i="26"/>
  <c r="D26" i="26" s="1"/>
  <c r="C26" i="26" s="1"/>
  <c r="C17" i="26"/>
  <c r="C14" i="26"/>
  <c r="B17" i="4" l="1"/>
  <c r="A17" i="4"/>
  <c r="B30" i="4" l="1"/>
  <c r="A30" i="4"/>
  <c r="B28" i="4"/>
  <c r="A28" i="4"/>
  <c r="C30" i="4" l="1"/>
  <c r="I30" i="4" s="1"/>
  <c r="K30" i="4" l="1"/>
  <c r="G30" i="4"/>
  <c r="E30" i="4"/>
  <c r="C17" i="4" l="1"/>
  <c r="I17" i="4" s="1"/>
  <c r="K17" i="4" l="1"/>
  <c r="G17" i="4"/>
  <c r="E17" i="4"/>
  <c r="C28" i="4" l="1"/>
  <c r="I28" i="4" s="1"/>
  <c r="K28" i="4" l="1"/>
  <c r="E28" i="4"/>
  <c r="G28" i="4"/>
  <c r="B24" i="4" l="1"/>
  <c r="A24" i="4"/>
  <c r="B36" i="4" l="1"/>
  <c r="B35" i="4"/>
  <c r="B27" i="4"/>
  <c r="B23" i="4"/>
  <c r="B22" i="4"/>
  <c r="B19" i="4"/>
  <c r="B18" i="4"/>
  <c r="B16" i="4"/>
  <c r="A36" i="4"/>
  <c r="A35" i="4"/>
  <c r="A27" i="4"/>
  <c r="A23" i="4"/>
  <c r="A22" i="4"/>
  <c r="A19" i="4"/>
  <c r="A16" i="4"/>
  <c r="C24" i="4" l="1"/>
  <c r="I24" i="4" s="1"/>
  <c r="C27" i="4"/>
  <c r="I27" i="4" s="1"/>
  <c r="G21" i="4"/>
  <c r="K27" i="4" l="1"/>
  <c r="E27" i="4"/>
  <c r="G27" i="4"/>
  <c r="G24" i="4"/>
  <c r="K24" i="4"/>
  <c r="E24" i="4"/>
  <c r="E21" i="4"/>
  <c r="C35" i="4"/>
  <c r="I35" i="4" s="1"/>
  <c r="K35" i="4" l="1"/>
  <c r="E35" i="4"/>
  <c r="G35" i="4"/>
  <c r="B6" i="4" l="1"/>
  <c r="A18" i="4" l="1"/>
  <c r="C36" i="4" l="1"/>
  <c r="I36" i="4" s="1"/>
  <c r="B7" i="4"/>
  <c r="B8" i="4"/>
  <c r="G36" i="4" l="1"/>
  <c r="E36" i="4"/>
  <c r="K36"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K39" i="4" s="1"/>
  <c r="G22" i="4" l="1"/>
  <c r="G39" i="4" s="1"/>
  <c r="E22" i="4"/>
  <c r="E39" i="4" l="1"/>
  <c r="I39" i="4"/>
  <c r="D38" i="2"/>
  <c r="E25" i="2" s="1"/>
  <c r="C39" i="4"/>
  <c r="H39" i="4" l="1"/>
  <c r="D26" i="4"/>
  <c r="L39" i="4"/>
  <c r="J39" i="4"/>
  <c r="F39" i="4"/>
  <c r="E32" i="2"/>
  <c r="E33" i="2"/>
  <c r="E31" i="2"/>
  <c r="E30" i="2"/>
  <c r="D22" i="4"/>
  <c r="D21" i="4"/>
  <c r="D20" i="4"/>
  <c r="D25" i="4"/>
  <c r="D31" i="4"/>
  <c r="D29" i="4"/>
  <c r="D32" i="4"/>
  <c r="D33" i="4"/>
  <c r="D34" i="4"/>
  <c r="D38" i="4"/>
  <c r="D37" i="4"/>
  <c r="D30" i="4"/>
  <c r="D17" i="4"/>
  <c r="D28" i="4"/>
  <c r="D27" i="4"/>
  <c r="D24" i="4"/>
  <c r="D35" i="4"/>
  <c r="D36" i="4"/>
  <c r="D23" i="4"/>
  <c r="D18" i="4"/>
  <c r="D19" i="4"/>
  <c r="E28" i="2"/>
  <c r="E16" i="2"/>
  <c r="E17" i="2"/>
  <c r="E24" i="2"/>
  <c r="E20" i="2"/>
  <c r="E22" i="2"/>
  <c r="E18" i="2"/>
  <c r="E21" i="2"/>
  <c r="E27" i="2"/>
  <c r="E29" i="2"/>
  <c r="E23" i="2"/>
  <c r="E19" i="2"/>
  <c r="E26" i="2"/>
  <c r="E37" i="2"/>
  <c r="E36" i="2"/>
  <c r="E34" i="2"/>
  <c r="E35" i="2"/>
  <c r="D39" i="2"/>
  <c r="E38" i="2"/>
  <c r="E15" i="2"/>
  <c r="E40" i="4" l="1"/>
  <c r="F40" i="4" s="1"/>
  <c r="D16" i="4"/>
  <c r="D39" i="4" l="1"/>
  <c r="G40" i="4"/>
  <c r="H40" i="4" l="1"/>
  <c r="I40" i="4"/>
  <c r="F355" i="24"/>
  <c r="J120" i="36" s="1"/>
  <c r="J40" i="4" l="1"/>
  <c r="L40" i="4" s="1"/>
  <c r="K40" i="4"/>
  <c r="F342" i="24"/>
  <c r="J124" i="36" s="1"/>
  <c r="F491" i="24"/>
  <c r="J154" i="36" l="1"/>
</calcChain>
</file>

<file path=xl/sharedStrings.xml><?xml version="1.0" encoding="utf-8"?>
<sst xmlns="http://schemas.openxmlformats.org/spreadsheetml/2006/main" count="7547" uniqueCount="2425">
  <si>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</si>
  <si>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</si>
  <si>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</si>
  <si>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</si>
  <si>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</si>
  <si>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</si>
  <si>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</si>
  <si>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</si>
  <si>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</si>
  <si>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</si>
  <si>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</si>
  <si>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</si>
  <si>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</si>
  <si>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</si>
  <si>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</si>
  <si>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</si>
  <si>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</si>
  <si>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</si>
  <si>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</si>
  <si>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</si>
  <si>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</si>
  <si>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</si>
  <si>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</si>
  <si>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</si>
  <si>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</si>
  <si>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</si>
  <si>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</si>
  <si>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</si>
  <si>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</si>
  <si>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</si>
  <si>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</si>
  <si>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</si>
  <si>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</si>
  <si>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</si>
  <si>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</si>
  <si>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</si>
  <si>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</si>
  <si>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</si>
  <si>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</si>
  <si>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</si>
  <si>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</si>
  <si>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</si>
  <si>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</si>
  <si>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</si>
  <si>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</si>
  <si>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</si>
  <si>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DATA:   _____ / ____ /_____</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</si>
  <si>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</si>
  <si>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</si>
  <si>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</si>
  <si>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</si>
  <si>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</si>
  <si>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</si>
  <si>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</si>
  <si>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</si>
  <si>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</si>
  <si>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</si>
  <si>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</si>
  <si>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</si>
  <si>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</si>
  <si>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</si>
  <si>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</si>
  <si>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</si>
  <si>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</si>
  <si>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</si>
  <si>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</si>
  <si>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</si>
  <si>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</si>
  <si>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</si>
  <si>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</si>
  <si>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</si>
  <si>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</si>
  <si>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</si>
  <si>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</si>
  <si>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</si>
  <si>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</si>
  <si>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</si>
  <si>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</si>
  <si>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</si>
  <si>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</si>
  <si>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10.3</t>
  </si>
  <si>
    <t>10.4</t>
  </si>
  <si>
    <t>INSTALAÇÕES HIDRÁULICAS</t>
  </si>
  <si>
    <t>11.1</t>
  </si>
  <si>
    <t>11.2</t>
  </si>
  <si>
    <t>12.1</t>
  </si>
  <si>
    <t>12.2</t>
  </si>
  <si>
    <t>12.3</t>
  </si>
  <si>
    <t>12.4</t>
  </si>
  <si>
    <t>12.5</t>
  </si>
  <si>
    <t>13.1</t>
  </si>
  <si>
    <t>13.2</t>
  </si>
  <si>
    <t>13.3</t>
  </si>
  <si>
    <t>14.1</t>
  </si>
  <si>
    <t>14.2</t>
  </si>
  <si>
    <t>PINTURA</t>
  </si>
  <si>
    <t>AUXILIAR DE ELETRICISTA COM ENCARGOS COMPLEMENTARES</t>
  </si>
  <si>
    <t>ELETRICISTA COM ENCARGOS COMPLEMENTARES</t>
  </si>
  <si>
    <t>Materiais</t>
  </si>
  <si>
    <t>QUADRO DE COTAÇÕES ( un  )</t>
  </si>
  <si>
    <t>Empresa</t>
  </si>
  <si>
    <t>valor</t>
  </si>
  <si>
    <t>CONTATO</t>
  </si>
  <si>
    <t>37.470.911/0001-92</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</si>
  <si>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</si>
  <si>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</si>
  <si>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</si>
  <si>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</si>
  <si>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</si>
  <si>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</si>
  <si>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</si>
  <si>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</si>
  <si>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</si>
  <si>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</si>
  <si>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</si>
  <si>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9.3</t>
  </si>
  <si>
    <t>9.4</t>
  </si>
  <si>
    <t>9.5</t>
  </si>
  <si>
    <t>9.6</t>
  </si>
  <si>
    <t>9.7</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</si>
  <si>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</si>
  <si>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</si>
  <si>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</si>
  <si>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</si>
  <si>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</si>
  <si>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</si>
  <si>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</si>
  <si>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</si>
  <si>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</si>
  <si>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</si>
  <si>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</si>
  <si>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</si>
  <si>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</si>
  <si>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</si>
  <si>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</si>
  <si>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</si>
  <si>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</si>
  <si>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</si>
  <si>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</si>
  <si>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</si>
  <si>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</si>
  <si>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</si>
  <si>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</si>
  <si>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</si>
  <si>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8.4</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</si>
  <si>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</si>
  <si>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</si>
  <si>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</si>
  <si>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</si>
  <si>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</si>
  <si>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</si>
  <si>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</si>
  <si>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</si>
  <si>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</si>
  <si>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</si>
  <si>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</si>
  <si>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</si>
  <si>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</si>
  <si>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</si>
  <si>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</si>
  <si>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</si>
  <si>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</si>
  <si>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</si>
  <si>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</si>
  <si>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</si>
  <si>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</si>
  <si>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</si>
  <si>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</si>
  <si>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8.5</t>
  </si>
  <si>
    <t>8.6</t>
  </si>
  <si>
    <t>8.7</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</si>
  <si>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</si>
  <si>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</si>
  <si>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</si>
  <si>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</si>
  <si>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</si>
  <si>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</si>
  <si>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</si>
  <si>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</si>
  <si>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</si>
  <si>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INTERRUPTOR SIMPLES (2 MÓDULOS), 10A/250V, INCLUINDO SUPORTE E PLACA - FORNECIMENTO E INSTALAÇÃO. AF_12/2015</t>
  </si>
  <si>
    <t>CAIXA RETANGULAR 4" X 2" BAIXA (0,30 M DO PISO), PVC, INSTALADA EM PAREDE - FORNECIMENTO E INSTALAÇÃO</t>
  </si>
  <si>
    <t>CAIXA RETANGULAR 4" X 2" ALTA (2,00 M DO PISO), PVC, INSTALADA EM PAREDE - FORNECIMENTO E INSTALAÇÃO. AF_12/2015</t>
  </si>
  <si>
    <t>LIXA EM FOLHA PARA PAREDE OU MADEIRA, NUMERO 120 (COR VERMELHA)</t>
  </si>
  <si>
    <t>07.140.276/0001-14</t>
  </si>
  <si>
    <t>SHOP 10</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</si>
  <si>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</si>
  <si>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</si>
  <si>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</si>
  <si>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</si>
  <si>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</si>
  <si>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</si>
  <si>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</si>
  <si>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</si>
  <si>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</si>
  <si>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</si>
  <si>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</si>
  <si>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</si>
  <si>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</si>
  <si>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</si>
  <si>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1.9</t>
  </si>
  <si>
    <t>2.5</t>
  </si>
  <si>
    <t>2.6</t>
  </si>
  <si>
    <t>2.7</t>
  </si>
  <si>
    <t>2.8</t>
  </si>
  <si>
    <t>2.9</t>
  </si>
  <si>
    <t>2.10</t>
  </si>
  <si>
    <t>2.11</t>
  </si>
  <si>
    <t>2.12</t>
  </si>
  <si>
    <t>2.13</t>
  </si>
  <si>
    <t>2.14</t>
  </si>
  <si>
    <t>2.15</t>
  </si>
  <si>
    <t>UND</t>
  </si>
  <si>
    <t>SECRETARIA ADJUNTA DAS CIDADES</t>
  </si>
  <si>
    <t>ENTRADA PROVISORIA DE ENERGIA ELETRICA AEREA TRIFASICA 40A EM POSTE MADEIRA</t>
  </si>
  <si>
    <t>MOVIMENTO DE TERRA</t>
  </si>
  <si>
    <t>REVESTIMENTO DE PISO</t>
  </si>
  <si>
    <t>REVESTIMENTO DE PAREDE</t>
  </si>
  <si>
    <t>12.8</t>
  </si>
  <si>
    <t>LIMPEZA DO TERRENO</t>
  </si>
  <si>
    <t>4.5</t>
  </si>
  <si>
    <t>4.1.2</t>
  </si>
  <si>
    <t>4.1.1</t>
  </si>
  <si>
    <t>4.1.3</t>
  </si>
  <si>
    <t>4.1.4</t>
  </si>
  <si>
    <t>4.1.6</t>
  </si>
  <si>
    <t>4.1.7</t>
  </si>
  <si>
    <t>VIGAS BALDRAMES</t>
  </si>
  <si>
    <t>4.1.8</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</si>
  <si>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</si>
  <si>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</si>
  <si>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</si>
  <si>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</si>
  <si>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</si>
  <si>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</si>
  <si>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</si>
  <si>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</si>
  <si>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</si>
  <si>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</si>
  <si>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</si>
  <si>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</si>
  <si>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</si>
  <si>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</si>
  <si>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</si>
  <si>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</si>
  <si>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</si>
  <si>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</si>
  <si>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</si>
  <si>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</si>
  <si>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</si>
  <si>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</si>
  <si>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</si>
  <si>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</si>
  <si>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</si>
  <si>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CABO DE COBRE FLEXÍVEL ISOLADO, 25 MM², ANTI-CHAMA 0,6/1,0 KV, PARA CIRCUITOS TERMINAIS - FORNECIMENTO E INSTALAÇÃO. AF_12/2015</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</si>
  <si>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</si>
  <si>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</si>
  <si>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DISJUNTOR BIPOLAR TIPO DIN, CORRENTE NOMINAL DE 10A - 5kA -FORNECIMENTO E INSTALAÇÃO</t>
  </si>
  <si>
    <t>DISJUNTOR TERMOMAGNETICO MONOPOLAR DIN 10A,10 kA FORNECIMENTO E INSTALACAO</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</si>
  <si>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</si>
  <si>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</si>
  <si>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</si>
  <si>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10.5</t>
  </si>
  <si>
    <t>10.6</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</si>
  <si>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</si>
  <si>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</si>
  <si>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</si>
  <si>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</si>
  <si>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</si>
  <si>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</si>
  <si>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</si>
  <si>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</si>
  <si>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</si>
  <si>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</si>
  <si>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</si>
  <si>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</si>
  <si>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</si>
  <si>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</si>
  <si>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</si>
  <si>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</si>
  <si>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</si>
  <si>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</si>
  <si>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</si>
  <si>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</si>
  <si>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</si>
  <si>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</si>
  <si>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</si>
  <si>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</si>
  <si>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</si>
  <si>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</si>
  <si>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</si>
  <si>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</si>
  <si>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</si>
  <si>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</si>
  <si>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</si>
  <si>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</si>
  <si>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</si>
  <si>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 xml:space="preserve">INSTALAÇÕES ELÉTRICAS </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</si>
  <si>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</si>
  <si>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</si>
  <si>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</si>
  <si>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</si>
  <si>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</si>
  <si>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</si>
  <si>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</si>
  <si>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</si>
  <si>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</si>
  <si>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</si>
  <si>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</si>
  <si>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</si>
  <si>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</si>
  <si>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</si>
  <si>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</si>
  <si>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</si>
  <si>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BDI</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</si>
  <si>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</si>
  <si>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</si>
  <si>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</si>
  <si>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</si>
  <si>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</si>
  <si>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</si>
  <si>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</si>
  <si>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</si>
  <si>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</si>
  <si>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</si>
  <si>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</si>
  <si>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</si>
  <si>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</si>
  <si>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</si>
  <si>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</si>
  <si>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</si>
  <si>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</si>
  <si>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</si>
  <si>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Área total do terreno</t>
  </si>
  <si>
    <t>CARGA MANUAL DE ENTULHO EM CAÇAMBA BOTA FORA DE 6,00M³</t>
  </si>
  <si>
    <t>Volume gerado pela limpeza do terreno</t>
  </si>
  <si>
    <t>LOCAÇÃO CONVENCIONAL DE OBRA , UTILIZANDO GABARITO DE TÁBUAS CORRIDAS</t>
  </si>
  <si>
    <t>Utilizar o comprimento do gabarito com tábuas corridas</t>
  </si>
  <si>
    <t>PLANTA BAIXA - ESQUEMÁTICA</t>
  </si>
  <si>
    <t>PERÍMETRO (M)</t>
  </si>
  <si>
    <t>PERÍMETRO TOTAL(M)</t>
  </si>
  <si>
    <t>3.0</t>
  </si>
  <si>
    <t>ESTRUTURA DE CONCRETO</t>
  </si>
  <si>
    <t>4.0</t>
  </si>
  <si>
    <t>ESTRUTURA METÁLICA</t>
  </si>
  <si>
    <t>5.0</t>
  </si>
  <si>
    <t>IMPERMEABILIZAÇÃO</t>
  </si>
  <si>
    <t>6.0</t>
  </si>
  <si>
    <t>ALVENARIA</t>
  </si>
  <si>
    <t>ALTURA (m)</t>
  </si>
  <si>
    <t>Área (m²)</t>
  </si>
  <si>
    <t>A X L vão</t>
  </si>
  <si>
    <t>Área vão (m²)</t>
  </si>
  <si>
    <t>Área Final (m²)</t>
  </si>
  <si>
    <t>PAREDES COM ÁREA LÍQUIDA MAIOR QUE 6M² - SEM VÃO</t>
  </si>
  <si>
    <t>PAREDES COM ÁREA LÍQUIDA MENOR QUE 6M² - COM VÃO</t>
  </si>
  <si>
    <t>PAREDES COM ÁREA LÍQUIDA MENOR QUE 6M² - SEM VÃO</t>
  </si>
  <si>
    <t>TOTAL GERAL</t>
  </si>
  <si>
    <t>6.2.1</t>
  </si>
  <si>
    <t>VERGAS PARA JANELAS</t>
  </si>
  <si>
    <t xml:space="preserve">Dimensão da esquadria com transpasse de 30cm para cada lado. </t>
  </si>
  <si>
    <t>CÓDIGO/QUANTIDADE</t>
  </si>
  <si>
    <t>LARGURA</t>
  </si>
  <si>
    <t>TRANSPASSE</t>
  </si>
  <si>
    <t>COMPRIMENTO FINAL (M)</t>
  </si>
  <si>
    <t>0,30+0,30</t>
  </si>
  <si>
    <t>6.2.2</t>
  </si>
  <si>
    <t>VERGAS PARA PORTAS</t>
  </si>
  <si>
    <t>6.2.3</t>
  </si>
  <si>
    <t>CONTRA-VERGAS</t>
  </si>
  <si>
    <t>7.0</t>
  </si>
  <si>
    <t>COBERTURA</t>
  </si>
  <si>
    <t>COMPRIMENTO</t>
  </si>
  <si>
    <t xml:space="preserve">Valor retirado através do Projeto Arquitetônico pelo Projetista. </t>
  </si>
  <si>
    <t>Utilizar área de Projeção do Telhado</t>
  </si>
  <si>
    <t>ÁREA TOTAL</t>
  </si>
  <si>
    <t>8.0</t>
  </si>
  <si>
    <t>Área total da esquadria em metro quadrado</t>
  </si>
  <si>
    <t xml:space="preserve">LARGURA </t>
  </si>
  <si>
    <t>ALTURA</t>
  </si>
  <si>
    <t>TOTAL (M²)</t>
  </si>
  <si>
    <t>P1</t>
  </si>
  <si>
    <t>P2</t>
  </si>
  <si>
    <t>P3</t>
  </si>
  <si>
    <t>P4</t>
  </si>
  <si>
    <t>P5</t>
  </si>
  <si>
    <t>J1</t>
  </si>
  <si>
    <t>J2</t>
  </si>
  <si>
    <t>8.8</t>
  </si>
  <si>
    <t>J3</t>
  </si>
  <si>
    <t>8.9</t>
  </si>
  <si>
    <t>J4</t>
  </si>
  <si>
    <t>8.10</t>
  </si>
  <si>
    <t>Utilizar as dimensões estipuladas em Projeto Arquitetônico</t>
  </si>
  <si>
    <t>AMBIENTE</t>
  </si>
  <si>
    <t>TOTAL (M)</t>
  </si>
  <si>
    <t>Ver detalhe do peitoril no Caderno de Detalhes</t>
  </si>
  <si>
    <t>8.11</t>
  </si>
  <si>
    <t>8.12</t>
  </si>
  <si>
    <t>ÁREA TOTAL (M²)</t>
  </si>
  <si>
    <t>9.0</t>
  </si>
  <si>
    <t>REVESTIMENTOS</t>
  </si>
  <si>
    <t>Utilizar área de revestimento efetivamente executada. Todos os vãos deverão ser descontados.</t>
  </si>
  <si>
    <t>Recepção</t>
  </si>
  <si>
    <t xml:space="preserve">ÁREA TOTAL </t>
  </si>
  <si>
    <t>PISOS</t>
  </si>
  <si>
    <t>Critérios para quantificação dos serviços: Menores de 5m², entre 5 e 10m² e maior que 10m²</t>
  </si>
  <si>
    <t>Utilizar área de revestimento efetivamente executada. A área de projeção das paredes deve ser descontada.</t>
  </si>
  <si>
    <t>AMBIENTES</t>
  </si>
  <si>
    <t>LASTRO DE CONCRETO ESPESSURA 6CM (CONTRAPISO)</t>
  </si>
  <si>
    <t xml:space="preserve">ÁREA </t>
  </si>
  <si>
    <t xml:space="preserve">PINTURA </t>
  </si>
  <si>
    <t>BLOCO 01</t>
  </si>
  <si>
    <t>LIMPEZA FINAL DA OBRA</t>
  </si>
  <si>
    <t>Área total de piso.</t>
  </si>
  <si>
    <t>ambientes com área menor que 5m²</t>
  </si>
  <si>
    <t>ambientes com área entre 5m² e 10m²</t>
  </si>
  <si>
    <t>ambientes com área maior que 10m²</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</si>
  <si>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</si>
  <si>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</si>
  <si>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</si>
  <si>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</si>
  <si>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</si>
  <si>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</si>
  <si>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</si>
  <si>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</si>
  <si>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</si>
  <si>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</si>
  <si>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 xml:space="preserve"> un</t>
  </si>
  <si>
    <t>UNID.</t>
  </si>
  <si>
    <t>QTDE</t>
  </si>
  <si>
    <t>CUSTO UNITÁRIO</t>
  </si>
  <si>
    <t>CUSTO TOTAL</t>
  </si>
  <si>
    <t>H</t>
  </si>
  <si>
    <t>AREIA MEDIA - POSTO JAZIDA/FORNECEDOR (RETIRADO NA JAZIDA, SEM TRANSPORTE)</t>
  </si>
  <si>
    <t>PEDRA BRITADA N. 2 (19 A 38 MM) POSTO PEDREIRA/FORNECEDOR, SEM FRETE</t>
  </si>
  <si>
    <t>FOSSA SÉPTICA PRÉ-MOLDADA, 90 X 90CM PARA 10 CONTRIBUINTES</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</si>
  <si>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</si>
  <si>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</si>
  <si>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</si>
  <si>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</si>
  <si>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 xml:space="preserve">CONTRAVERGA MOLDADA IN LOCO COM UTILIZAÇÃO DE BLOCOS CANALETA PARA VÃOS DE ATÉ 1,5 M DE COMPRIMENTO. AF_03/2016 </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</si>
  <si>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</si>
  <si>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</si>
  <si>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</si>
  <si>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</si>
  <si>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</si>
  <si>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</si>
  <si>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</si>
  <si>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</si>
  <si>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LAJE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</si>
  <si>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</si>
  <si>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</si>
  <si>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</si>
  <si>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</si>
  <si>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</si>
  <si>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</si>
  <si>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</si>
  <si>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</si>
  <si>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</si>
  <si>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</si>
  <si>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</si>
  <si>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</si>
  <si>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</si>
  <si>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</si>
  <si>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</si>
  <si>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</si>
  <si>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</si>
  <si>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</si>
  <si>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</si>
  <si>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</si>
  <si>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</si>
  <si>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</si>
  <si>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</si>
  <si>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</si>
  <si>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</si>
  <si>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73883/002</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</si>
  <si>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</si>
  <si>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</si>
  <si>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</si>
  <si>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</si>
  <si>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</si>
  <si>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88239</t>
  </si>
  <si>
    <t>AJUDANTE DE CARPINTEIRO COM ENCARGOS COMPLEMENTARES</t>
  </si>
  <si>
    <t>88262</t>
  </si>
  <si>
    <t>88309</t>
  </si>
  <si>
    <t>88316</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</si>
  <si>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</si>
  <si>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</si>
  <si>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</si>
  <si>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</si>
  <si>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</si>
  <si>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</si>
  <si>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</si>
  <si>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</si>
  <si>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</si>
  <si>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</si>
  <si>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</si>
  <si>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</si>
  <si>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</si>
  <si>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</si>
  <si>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</si>
  <si>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</si>
  <si>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</si>
  <si>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</si>
  <si>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</si>
  <si>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</si>
  <si>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</si>
  <si>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</si>
  <si>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</si>
  <si>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</si>
  <si>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</si>
  <si>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</si>
  <si>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</si>
  <si>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</si>
  <si>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</si>
  <si>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</si>
  <si>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</si>
  <si>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</si>
  <si>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</si>
  <si>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</si>
  <si>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</si>
  <si>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</si>
  <si>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</si>
  <si>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</si>
  <si>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</si>
  <si>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</si>
  <si>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</si>
  <si>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</si>
  <si>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 xml:space="preserve">Composição de referência para os coeficientes de consumo: 50.004.000001.SER- PINI/TCPO 14 </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</si>
  <si>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</si>
  <si>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</si>
  <si>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</si>
  <si>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</si>
  <si>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</si>
  <si>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</si>
  <si>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</si>
  <si>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</si>
  <si>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</si>
  <si>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PLUGMAIS DISTRIB. - INFORM. E TELECOM. LTDA</t>
  </si>
  <si>
    <t>03.507.415/0022-79</t>
  </si>
  <si>
    <t>REDEDISTRIBUIDORA ELÉTRICA - ILUMINAÇÃO - SPDA - CFTV</t>
  </si>
  <si>
    <t>29.382.143/0001-97</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</si>
  <si>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</si>
  <si>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</si>
  <si>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</si>
  <si>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</si>
  <si>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</si>
  <si>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</si>
  <si>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</si>
  <si>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</si>
  <si>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</si>
  <si>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</si>
  <si>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</si>
  <si>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</si>
  <si>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!EM PROCESSO DE DESATIVACAO! HASTE DE ATERRAMENTO EM ACO COM 3,00 M DE COMPRIMENTO E DN = 5/8", REVESTIDA COM BAIXA CAMADA DE COBRE, COM CONECTOR TIPO GRAMPO</t>
  </si>
  <si>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</si>
  <si>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</si>
  <si>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</si>
  <si>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</si>
  <si>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</si>
  <si>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</si>
  <si>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</si>
  <si>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</si>
  <si>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</si>
  <si>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</si>
  <si>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</si>
  <si>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</si>
  <si>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</si>
  <si>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</si>
  <si>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</si>
  <si>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</si>
  <si>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</si>
  <si>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</si>
  <si>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</si>
  <si>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</si>
  <si>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</si>
  <si>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</si>
  <si>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</si>
  <si>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</si>
  <si>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</si>
  <si>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</si>
  <si>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</si>
  <si>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</si>
  <si>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</si>
  <si>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</si>
  <si>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</si>
  <si>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</si>
  <si>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</si>
  <si>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</si>
  <si>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!EM PROCESSO DE DESATIVACAO! HASTE DE ATERRAMENTO EM ACO COM 3,00 M DE COMPRIMENTO E DN = 5/8", REVESTIDA COM BAIXA CAMADA DE COBRE, SEM CONECTOR</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</si>
  <si>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</si>
  <si>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</si>
  <si>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</si>
  <si>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</si>
  <si>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</si>
  <si>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</si>
  <si>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</si>
  <si>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</si>
  <si>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</si>
  <si>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</si>
  <si>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</si>
  <si>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</si>
  <si>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</si>
  <si>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</si>
  <si>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</si>
  <si>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</si>
  <si>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</si>
  <si>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</si>
  <si>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</si>
  <si>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</si>
  <si>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</si>
  <si>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</si>
  <si>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</si>
  <si>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</si>
  <si>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</si>
  <si>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</si>
  <si>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</si>
  <si>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CORTE E DOBRA DE AÇO CA-60, DIÂMETRO DE 5,0 MM, UTILIZADO EM LAJE. AF_12/2015</t>
  </si>
  <si>
    <t>LASTRO DE CONCRETO MAGRO, APLICADO EM PISOS OU RADIERS, ESPESSURA DE 5CM. AF_07/2016</t>
  </si>
  <si>
    <t>9.8</t>
  </si>
  <si>
    <t>9.9</t>
  </si>
  <si>
    <t>9.10</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</si>
  <si>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</si>
  <si>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</si>
  <si>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</si>
  <si>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</si>
  <si>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</si>
  <si>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</si>
  <si>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</si>
  <si>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</si>
  <si>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</si>
  <si>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</si>
  <si>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</si>
  <si>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</si>
  <si>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</si>
  <si>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</si>
  <si>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</si>
  <si>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</si>
  <si>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</si>
  <si>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</si>
  <si>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</si>
  <si>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</si>
  <si>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</si>
  <si>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</si>
  <si>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</si>
  <si>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</si>
  <si>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14.1.1</t>
  </si>
  <si>
    <t>ESGOTAMENTO SANITÁRIO</t>
  </si>
  <si>
    <t>15.1</t>
  </si>
  <si>
    <t>PLANTIO DE GRAMA EM PLACAS. AF_05/2018</t>
  </si>
  <si>
    <t>17.4</t>
  </si>
  <si>
    <t>MURO DE DIVISA E MURETA DO GRADIL</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</si>
  <si>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</si>
  <si>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</si>
  <si>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</si>
  <si>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</si>
  <si>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</si>
  <si>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</si>
  <si>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</si>
  <si>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</si>
  <si>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</si>
  <si>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</si>
  <si>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</si>
  <si>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</si>
  <si>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</si>
  <si>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</si>
  <si>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</si>
  <si>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</si>
  <si>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</si>
  <si>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</si>
  <si>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</si>
  <si>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</si>
  <si>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CHAPISCO APLICADO EM ALVENARIAS E ESTRUTURAS DE CONCRETO INTERNAS, COM COLHER DE PEDREIRO. ARGAMASSA TRAÇO 1:3 COM PREPARO EM BETONEIRA 400L. AF_06/2014</t>
  </si>
  <si>
    <t>Composição de referência para os coeficientes de consumo: 83878/SINAPI - JAN/20</t>
  </si>
  <si>
    <t>364778/2019</t>
  </si>
  <si>
    <t>TANGARÁ DA SERRA - MT</t>
  </si>
  <si>
    <t>CONSTRUÇÃO DAS SEDES DAS DIRETORIAS DE UNIDADE DESCONCENTRADA DA SEMA</t>
  </si>
  <si>
    <t xml:space="preserve">RUA 24A </t>
  </si>
  <si>
    <t>TANGARÁ DA SERRA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</si>
  <si>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</si>
  <si>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</si>
  <si>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</si>
  <si>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</si>
  <si>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</si>
  <si>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</si>
  <si>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25,29+44,80+73,76+38,45</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</si>
  <si>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</si>
  <si>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</si>
  <si>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</si>
  <si>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</si>
  <si>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</si>
  <si>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</si>
  <si>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</si>
  <si>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</si>
  <si>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</si>
  <si>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LOCAÇÃO</t>
  </si>
  <si>
    <t>17,25+7,80+7,50+8,75+9,65+1,35+4,15+5,00+3,35+2,35+3,65+1,45+4,65+1,35</t>
  </si>
  <si>
    <t>Todo o perímetro da edificação</t>
  </si>
  <si>
    <t>EXECUÇÃO DE ALVENARIA DE ELEVAÇÃO  - BLOCO CERÂMICO</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</si>
  <si>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</si>
  <si>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</si>
  <si>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</si>
  <si>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</si>
  <si>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</si>
  <si>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</si>
  <si>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</si>
  <si>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</si>
  <si>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</si>
  <si>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</si>
  <si>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1,35+1,35+(1,85*4)+1,95</t>
  </si>
  <si>
    <t>4,15+1,50+4,80+3,65+1,65+4,30+4,00 (platibanda 01)</t>
  </si>
  <si>
    <t>3,55 (platibanda 02)</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</si>
  <si>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</si>
  <si>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</si>
  <si>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</si>
  <si>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</si>
  <si>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</si>
  <si>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</si>
  <si>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</si>
  <si>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</si>
  <si>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</si>
  <si>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</si>
  <si>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</si>
  <si>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</si>
  <si>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6.1.2</t>
  </si>
  <si>
    <t>ELEMENTO VAZADO DE CONCRETO QUADRADO 16 FUROS</t>
  </si>
  <si>
    <t>ALTURA (M)</t>
  </si>
  <si>
    <t>DESC. DE VÃO</t>
  </si>
  <si>
    <t>0,90X2,10</t>
  </si>
  <si>
    <t>J1X11</t>
  </si>
  <si>
    <t>J2X06</t>
  </si>
  <si>
    <t>J3X2</t>
  </si>
  <si>
    <t>J4X1</t>
  </si>
  <si>
    <t>P1X1</t>
  </si>
  <si>
    <t>P2X1</t>
  </si>
  <si>
    <t>P3X3</t>
  </si>
  <si>
    <t>P4X1</t>
  </si>
  <si>
    <t>P5X1</t>
  </si>
  <si>
    <t>P6X1</t>
  </si>
  <si>
    <t>P7X5</t>
  </si>
  <si>
    <t>COBERTURA  COM TELHA METÁLICA ISOTÉRMICA E=43MM, COM ATÉ DUAS ÁGUAS, INCLUSO IÇAMENTO</t>
  </si>
  <si>
    <t>Área de cobertura do prédio</t>
  </si>
  <si>
    <t>ESTRUTURA METÁLICA DA COBERTURA</t>
  </si>
  <si>
    <t>REGULARIZAÇÃO DE LAJE - CAIMENTO PARA ESCOAMENTO DA ÁGUA INCL. 2%</t>
  </si>
  <si>
    <t xml:space="preserve">Beiral Externo </t>
  </si>
  <si>
    <t xml:space="preserve">PORTA DE ABRIR DE FERRO EM CHAPA CORRUGADA </t>
  </si>
  <si>
    <t xml:space="preserve">PORTA DE ABRIR DE MADEIRA </t>
  </si>
  <si>
    <t>PORTA DE MADEIRA</t>
  </si>
  <si>
    <t>PORTA DE CORRER DE MADEIRA</t>
  </si>
  <si>
    <t>P6</t>
  </si>
  <si>
    <t>PORTA DE ABRIR EM ALUMÍNIO</t>
  </si>
  <si>
    <t>P7</t>
  </si>
  <si>
    <t>P8</t>
  </si>
  <si>
    <t>PORTÃO DE CORRER DE UMA FOLHA - ELÉTRICO</t>
  </si>
  <si>
    <t>P9</t>
  </si>
  <si>
    <t>PORTÃO DE CORRER DUAS FOLHAS - ELÉTRICO</t>
  </si>
  <si>
    <t>P10</t>
  </si>
  <si>
    <t>JANELA MAXIM AR DE ALUMÍNIO COM VIDRO LISO 6MM</t>
  </si>
  <si>
    <t>8.13</t>
  </si>
  <si>
    <t>JANELA CORRER DE  ALUMÍNIO COM VIDRO LISO 6MM</t>
  </si>
  <si>
    <t>8.14</t>
  </si>
  <si>
    <t>8.15</t>
  </si>
  <si>
    <t>J5</t>
  </si>
  <si>
    <t xml:space="preserve">PEITORIL EM GRANITO BRANCO SIENA </t>
  </si>
  <si>
    <t xml:space="preserve">Ver detalhe do peitoril </t>
  </si>
  <si>
    <t>8.16</t>
  </si>
  <si>
    <t xml:space="preserve">REQUADRO DE GRANITO BRANCO SIENA PARA A ÁREA DO JARDIM </t>
  </si>
  <si>
    <t>5,40+2,90</t>
  </si>
  <si>
    <t>8.17</t>
  </si>
  <si>
    <t xml:space="preserve">SOLEIRA EM GRANITO BRANCO SIENA POLIDO </t>
  </si>
  <si>
    <t>CHAPISCO PARA PAREDES INTERNAS</t>
  </si>
  <si>
    <t>ÁREA LÍQUIDA MENOR QUE 5M²</t>
  </si>
  <si>
    <t>Administrativo (1,50)</t>
  </si>
  <si>
    <t>Reunião (1,95)</t>
  </si>
  <si>
    <t>P3(0,80x2,10)</t>
  </si>
  <si>
    <t>Banheiro Feminino (1,05+2,85+3,85+1,85+1,08+2,0)</t>
  </si>
  <si>
    <t>Banheiro Masculino (1,05+2,85+3,85+1,85+1,08+2,0)</t>
  </si>
  <si>
    <t>Banheiro PNE Masc. 91,85+1,85+1,65+1,65)</t>
  </si>
  <si>
    <t>Banheiro PNE Fem. 91,85+1,85+1,65+1,65)</t>
  </si>
  <si>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</si>
  <si>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</si>
  <si>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</si>
  <si>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</si>
  <si>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</si>
  <si>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</si>
  <si>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</si>
  <si>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</si>
  <si>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</si>
  <si>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</si>
  <si>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</si>
  <si>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</si>
  <si>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</si>
  <si>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</si>
  <si>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</si>
  <si>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</si>
  <si>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</si>
  <si>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</si>
  <si>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</si>
  <si>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</si>
  <si>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</si>
  <si>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</si>
  <si>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</si>
  <si>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</si>
  <si>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</si>
  <si>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</si>
  <si>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</si>
  <si>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</si>
  <si>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</si>
  <si>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</si>
  <si>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</si>
  <si>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</si>
  <si>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</si>
  <si>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EMBOÇO PARA REVESTIMENTO CERÂMICO</t>
  </si>
  <si>
    <t>J5 (0,40X0,60)</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</si>
  <si>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</si>
  <si>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</si>
  <si>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</si>
  <si>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</si>
  <si>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</si>
  <si>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</si>
  <si>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</si>
  <si>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</si>
  <si>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</si>
  <si>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</si>
  <si>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</si>
  <si>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</si>
  <si>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</si>
  <si>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</si>
  <si>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</si>
  <si>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</si>
  <si>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</si>
  <si>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REVESTIMENTO CERÂMICO PAREDES INTERNAS 30X60CM</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</si>
  <si>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</si>
  <si>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</si>
  <si>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</si>
  <si>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</si>
  <si>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</si>
  <si>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</si>
  <si>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</si>
  <si>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</si>
  <si>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</si>
  <si>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</si>
  <si>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</si>
  <si>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</si>
  <si>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</si>
  <si>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</si>
  <si>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</si>
  <si>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</si>
  <si>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</si>
  <si>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</si>
  <si>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</si>
  <si>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</si>
  <si>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</si>
  <si>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</si>
  <si>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EMBOÇO PARA RECEBIMENTO DE REVESTIMENTO CERÂMICO - PAREDES EXTERNAS</t>
  </si>
  <si>
    <t>REVESTIMENTO CERÂMICO - PAREDES EXTERNAS</t>
  </si>
  <si>
    <t>CHAPISCO PARA LAJE</t>
  </si>
  <si>
    <t>Critérios para quantificação dos serviços</t>
  </si>
  <si>
    <t>Depósito 01</t>
  </si>
  <si>
    <t>O beiral náo receberá chapisco, receberá somente textura.</t>
  </si>
  <si>
    <t>Administrativo</t>
  </si>
  <si>
    <t>Depósito 02</t>
  </si>
  <si>
    <t>Diretor</t>
  </si>
  <si>
    <t>Sala de Reunião</t>
  </si>
  <si>
    <t>Copa</t>
  </si>
  <si>
    <t>DML</t>
  </si>
  <si>
    <t>Banheiro Masculino</t>
  </si>
  <si>
    <t>Banheiro PNE Masc.</t>
  </si>
  <si>
    <t>Banheiro Feminino</t>
  </si>
  <si>
    <t>Banheiro PNE Fem.</t>
  </si>
  <si>
    <t>NIVELAMENTO E APILOAMENTO DE BASE PARA RECEBIMENTO DO CONTAPISO</t>
  </si>
  <si>
    <t>ÁREA TOTAL(M²)</t>
  </si>
  <si>
    <t>DML, Banheiro PNE Masculino, Banheiro PNE Feminino.</t>
  </si>
  <si>
    <t>3,18+2,78+2,78</t>
  </si>
  <si>
    <t>Copa, Banheiro Masculino, Banheiro Feminino</t>
  </si>
  <si>
    <t>7,70+7,68+7,68</t>
  </si>
  <si>
    <t>Depósito 01, Administrativo, Depósito 02, Diretor, Reunião, Recepção, Hall Interno/Circulação, Hall Externo</t>
  </si>
  <si>
    <t>34,87+72,37+10,55+16,00+19,64+20+30,21+10,61</t>
  </si>
  <si>
    <t xml:space="preserve">Calçada Externa interior do terreno, Área Técnica, Calçada Ruas </t>
  </si>
  <si>
    <t>66,73+13,70+31,95+4,46+68,14+108,42</t>
  </si>
  <si>
    <t>Calçada de concreto</t>
  </si>
  <si>
    <t>Calçada Externa interior do terreno, Área Técnica</t>
  </si>
  <si>
    <t>66,73+13,70+31,95+4,46</t>
  </si>
  <si>
    <t>CALÇADA RUA 24-A E RUA 09</t>
  </si>
  <si>
    <t>RUAS 24-A E RUA 09</t>
  </si>
  <si>
    <t>68,14+108,42</t>
  </si>
  <si>
    <t>REGULARIZAÇÃO DESEMPENADA DE BASE PARA REVESTIMENTO DE PISO (6CM)</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</si>
  <si>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</si>
  <si>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</si>
  <si>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</si>
  <si>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</si>
  <si>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</si>
  <si>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</si>
  <si>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</si>
  <si>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</si>
  <si>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</si>
  <si>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</si>
  <si>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</si>
  <si>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</si>
  <si>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</si>
  <si>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</si>
  <si>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</si>
  <si>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</si>
  <si>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</si>
  <si>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</si>
  <si>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</si>
  <si>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</si>
  <si>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</si>
  <si>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</si>
  <si>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</si>
  <si>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</si>
  <si>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</si>
  <si>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</si>
  <si>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</si>
  <si>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</si>
  <si>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</si>
  <si>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</si>
  <si>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</si>
  <si>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</si>
  <si>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</si>
  <si>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</si>
  <si>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SELADOR PARA PAREDES INTERNAS, UMA DEMÃO.</t>
  </si>
  <si>
    <t>Critérios para quantificação dos serviços: equivalente à área de reboco</t>
  </si>
  <si>
    <t>Utilizar a área de aplicação da pintura em alvenaria. Descontando os vãos.</t>
  </si>
  <si>
    <t>P7(0,80*2,10*4)</t>
  </si>
  <si>
    <t>EMASSAMENTO DE PAREDES INTERNAS</t>
  </si>
  <si>
    <t>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</si>
  <si>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</si>
  <si>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</si>
  <si>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</si>
  <si>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</si>
  <si>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</si>
  <si>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</si>
  <si>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TEXTURA PARA PAREDES EXTERNAS, DUAS DEMÃO</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</si>
  <si>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</si>
  <si>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</si>
  <si>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</si>
  <si>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</si>
  <si>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</si>
  <si>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</si>
  <si>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</si>
  <si>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</si>
  <si>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</si>
  <si>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</si>
  <si>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</si>
  <si>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</si>
  <si>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FORNECIMENTO E INSTALAÇÃO DE BACIA SANITÁRIA COM CAIXA ACOPLADA</t>
  </si>
  <si>
    <t>Quantidade de peças que constam no Projeto Arquitetônico</t>
  </si>
  <si>
    <t xml:space="preserve">AMBIENTE </t>
  </si>
  <si>
    <t xml:space="preserve">QUANTIDADE </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</si>
  <si>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</si>
  <si>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</si>
  <si>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</si>
  <si>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</si>
  <si>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</si>
  <si>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</si>
  <si>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</si>
  <si>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</si>
  <si>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</si>
  <si>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14.4</t>
  </si>
  <si>
    <t>FORNECIMENTO E INSTALAÇÃO DE CUBA OVAL</t>
  </si>
  <si>
    <t>14.5</t>
  </si>
  <si>
    <t>FORNECIMENTO E INSTALAÇÃO DE TORNEIRA DE MESA PARA BANCADA OU LAVATÓRIO</t>
  </si>
  <si>
    <t>14.6</t>
  </si>
  <si>
    <t>FORNECIMENTO E INSTALAÇÃO DE TORNEIRA PARA LAVATÓRIO COM ALAVANCA PARA PCD</t>
  </si>
  <si>
    <t>PCD</t>
  </si>
  <si>
    <t>PcD Feminino</t>
  </si>
  <si>
    <t>14.7</t>
  </si>
  <si>
    <t>FORNECIMENTO E INSTALAÇÃO DE TORNEIRA PARA COZINHA</t>
  </si>
  <si>
    <t>14.8</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</si>
  <si>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</si>
  <si>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</si>
  <si>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</si>
  <si>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</si>
  <si>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</si>
  <si>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</si>
  <si>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</si>
  <si>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</si>
  <si>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</si>
  <si>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</si>
  <si>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</si>
  <si>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</si>
  <si>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</si>
  <si>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</si>
  <si>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</si>
  <si>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</si>
  <si>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</si>
  <si>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</si>
  <si>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</si>
  <si>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</si>
  <si>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</si>
  <si>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</si>
  <si>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</si>
  <si>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</si>
  <si>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</si>
  <si>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</si>
  <si>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</si>
  <si>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</si>
  <si>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</si>
  <si>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</si>
  <si>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14.9</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</si>
  <si>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</si>
  <si>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</si>
  <si>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</si>
  <si>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</si>
  <si>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</si>
  <si>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</si>
  <si>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</si>
  <si>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</si>
  <si>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</si>
  <si>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SERVIÇOS CONSTRUTIVOS COMPLEMENTARES</t>
  </si>
  <si>
    <t>21.1</t>
  </si>
  <si>
    <t>Conforme Projeto de cada Unidade</t>
  </si>
  <si>
    <t>Espessura de 7cm</t>
  </si>
  <si>
    <t>21.2</t>
  </si>
  <si>
    <t>MEIO FIO  DE CONCRETO MOLDADO "IN LOCO" - TRECHO RETO</t>
  </si>
  <si>
    <t>Rua 24A 27,48+ Rua 09 41,78</t>
  </si>
  <si>
    <t>21.3</t>
  </si>
  <si>
    <t>MEIO FIO  DE CONCRETO MOLDADO "IN LOCO" - TRECHO CURVO</t>
  </si>
  <si>
    <t>21.4</t>
  </si>
  <si>
    <t>FORNECIMENTO E ESPALHAMENTO DE TERRA VEGETAL, ESPESSURA 5CM</t>
  </si>
  <si>
    <t>Pátio Externo + Jardim Interno</t>
  </si>
  <si>
    <t>72,98+21,26+99,48+15,52</t>
  </si>
  <si>
    <t>Quantitativos retirados do Projeto Arquitetônico</t>
  </si>
  <si>
    <t>21.5</t>
  </si>
  <si>
    <t>FORNECIMENTO DE GRAMA ESMERALDA</t>
  </si>
  <si>
    <t>Pátio Externo</t>
  </si>
  <si>
    <t>72,98+21,26+99,48</t>
  </si>
  <si>
    <t>21.6</t>
  </si>
  <si>
    <t>FORNECIMENTO E PLANTIO DE FORROÇÃO (SINGÔNIO) - JARDIM INTERNO</t>
  </si>
  <si>
    <t>Pátio Interno</t>
  </si>
  <si>
    <t>21.7</t>
  </si>
  <si>
    <t>FORNECIMENTO E PLANTIO DE ÁRVORE ORNAMENTAL - IPE</t>
  </si>
  <si>
    <t>UNIDADES (TOTAL)</t>
  </si>
  <si>
    <t>Pátio externo + Patio Interno</t>
  </si>
  <si>
    <t>21.8</t>
  </si>
  <si>
    <t>FORNECIMENTO E PLANTIO DE ÁRVORE ORNAMENTAL - OITI</t>
  </si>
  <si>
    <t>21.9</t>
  </si>
  <si>
    <t>MURETA DE ALVENARIA PARA RECEBIMENTO DE GRADIL - ALTURA 40CM</t>
  </si>
  <si>
    <t>PERIM. TOTAL</t>
  </si>
  <si>
    <t>DESC. DE VÃOS</t>
  </si>
  <si>
    <t>24,90+44,70</t>
  </si>
  <si>
    <t>21.9.1</t>
  </si>
  <si>
    <t>CHAPISCO TRAÇO 1:3 - MURETA</t>
  </si>
  <si>
    <t>(24,90+44,70)X2</t>
  </si>
  <si>
    <t>(24,90+44,70)</t>
  </si>
  <si>
    <t>21.9.2</t>
  </si>
  <si>
    <t>EMBOÇO TRAÇO 1:4 - MURETA</t>
  </si>
  <si>
    <t>21.9.3</t>
  </si>
  <si>
    <t>REBOCO TRAÇO 1:2:8 - MURETA</t>
  </si>
  <si>
    <t>21.9.4</t>
  </si>
  <si>
    <t>SELADOR ACRÍLICO 01 DEMÃO - MURETA</t>
  </si>
  <si>
    <t>21.9.5</t>
  </si>
  <si>
    <t>TEXTURA ACRÍLICA - MURETA</t>
  </si>
  <si>
    <t>21.10</t>
  </si>
  <si>
    <t xml:space="preserve">FECHAMENTO EM GRADIL EM AÇO GALAVANIZADO PRÉ PINTADO </t>
  </si>
  <si>
    <t>21.11</t>
  </si>
  <si>
    <t>PISO INTERTRAVADO RETANGULAR - ESPESSURA 8CM</t>
  </si>
  <si>
    <t>21.12</t>
  </si>
  <si>
    <t>DEMARCAÇÃO DE PISO (SÍMBOLO CADEIRANTE)</t>
  </si>
  <si>
    <t>Consta no Projeto Arquitetônico duas vagas para PNE</t>
  </si>
  <si>
    <t>21.13</t>
  </si>
  <si>
    <t>DEMARCAÇÃO DE PISO (PINTURA ESTACIONAMENTO)</t>
  </si>
  <si>
    <t xml:space="preserve">PERÍMETRO </t>
  </si>
  <si>
    <t>7,70+(4,90X5)+20,8+(5X5)+(5,90X3)+((0,31+1,20+(1,41X6)+0,70)X2</t>
  </si>
  <si>
    <t>21.14</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</si>
  <si>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</si>
  <si>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</si>
  <si>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</si>
  <si>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</si>
  <si>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</si>
  <si>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</si>
  <si>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</si>
  <si>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21.15</t>
  </si>
  <si>
    <t>21.15.1</t>
  </si>
  <si>
    <t>CHAPISCO TRAÇO 1:3 PARA ALVENARIA - MURO</t>
  </si>
  <si>
    <t>(73,76+38,25)X2</t>
  </si>
  <si>
    <t>(73,76+38,25)</t>
  </si>
  <si>
    <t>21.15.2</t>
  </si>
  <si>
    <t>21.15.3</t>
  </si>
  <si>
    <t>21.15.4</t>
  </si>
  <si>
    <t>SELADOR ACRÍLICO 1 DEMÃO- MURO</t>
  </si>
  <si>
    <t>PINTURA COM TINTA LÁTEX ACRÍLICA 02 DEMÃOS - MURO</t>
  </si>
  <si>
    <t>21.16</t>
  </si>
  <si>
    <t>PAINEL DE MADEIRA SOBRE ESTRUTURA METÁLICA</t>
  </si>
  <si>
    <t>Ver projeto específico</t>
  </si>
  <si>
    <t>4,23+5,33</t>
  </si>
  <si>
    <t>Ver detalhamento específico</t>
  </si>
  <si>
    <t>21.17</t>
  </si>
  <si>
    <t>LETRA CAIXA</t>
  </si>
  <si>
    <t>ALTURA (CM)</t>
  </si>
  <si>
    <t>22.1</t>
  </si>
  <si>
    <t>LIMPEZA ÁREA INTERNA</t>
  </si>
  <si>
    <t>22.2</t>
  </si>
  <si>
    <t>LIMPEZA CALÇADAS</t>
  </si>
  <si>
    <t>Caçadas do interior do terreno</t>
  </si>
  <si>
    <t>Caçadas Rua 24-A e Rua 09</t>
  </si>
  <si>
    <t xml:space="preserve">LISTA DE MATERIAIS </t>
  </si>
  <si>
    <t>55 pç</t>
  </si>
  <si>
    <t>16 pç</t>
  </si>
  <si>
    <t>Condulete PVC encaixe tipo C 3/4"</t>
  </si>
  <si>
    <t>23 pç</t>
  </si>
  <si>
    <t>Condulete PVC encaixe tipo LL 3/4"</t>
  </si>
  <si>
    <t>Condulete PVC encaixe tipo LR 1"</t>
  </si>
  <si>
    <t>Condulete PVC encaixe tipo LR 3/4"</t>
  </si>
  <si>
    <t>Condulete PVC encaixe tipo T 1"</t>
  </si>
  <si>
    <t>Luva PVC encaixe 3/4"</t>
  </si>
  <si>
    <t>5 pç</t>
  </si>
  <si>
    <t>Rasgo em Alvenaria até 40mm</t>
  </si>
  <si>
    <t>8.55 m</t>
  </si>
  <si>
    <t>Cabo Unipolar (cobre) Isol. XLPE - 0,6/1kV  16 mm²</t>
  </si>
  <si>
    <t>20.9 m</t>
  </si>
  <si>
    <t>Cabo Unipolar (cobre) Isol. XLPE - 0,6/1kV  25 mm²</t>
  </si>
  <si>
    <t>83.6 m</t>
  </si>
  <si>
    <t>Cabo Unipolar (cobre) Isol.PVC - 450/750V   1.5 mm²</t>
  </si>
  <si>
    <t>544.8 m</t>
  </si>
  <si>
    <t>Cabo Unipolar (cobre) Isol.PVC - 450/750V   2.5 mm²</t>
  </si>
  <si>
    <t>860.6 m</t>
  </si>
  <si>
    <t>Cabo Unipolar (cobre) Isol.PVC - 450/750V   4 mm²</t>
  </si>
  <si>
    <t>398 m</t>
  </si>
  <si>
    <t>Caixa de passagem - embutir Aço pintada  300x300x120 mm</t>
  </si>
  <si>
    <t>Caixa de passagem - embutir Aço pintada  400x400x150 mm</t>
  </si>
  <si>
    <t>Interruptor simples - 1 tecla C/ Placa 2x4"</t>
  </si>
  <si>
    <t>Interruptor simples - 1 tecla C/ Placa 2x4" p/ 1 função</t>
  </si>
  <si>
    <t>Interruptor simples - 1 tecla C/ Placa 2x4" p/ 2 funções</t>
  </si>
  <si>
    <t>Interruptor simples - 1 tecla C/ Placa 2x4" p/ 3 funções</t>
  </si>
  <si>
    <t>Tomada hexagonal (NBR 14136) (2) 2P+T 10A - Baixa C/ Placa 2x4"</t>
  </si>
  <si>
    <t>19 pç</t>
  </si>
  <si>
    <t>Tomada hexagonal (NBR 14136) 2P+T 10A Alta C/ Placa 2x4"</t>
  </si>
  <si>
    <t>Tomada hexagonal (NBR 14136) 2P+T 10A Baixa C/ Placa 2x4"</t>
  </si>
  <si>
    <t>32 pç</t>
  </si>
  <si>
    <t>Tomada hexagonal (NBR 14136) 2P+T 10A Média C/ Placa 2x4"</t>
  </si>
  <si>
    <t>Interruptor 1 tecla paralela e tomada hexagonal (NBR14136) S/ placa</t>
  </si>
  <si>
    <t>Interruptor 1 tecla simples e tomada hexagonal (NBR14136) S/ placa</t>
  </si>
  <si>
    <t>Interruptor 2 teclas - simples e paralela separadas S/ placa</t>
  </si>
  <si>
    <t>Tomada hexagonal (NBR 14136) 2P+T 10A S/ placa</t>
  </si>
  <si>
    <t>Tampa  PVC p/ condulete cega</t>
  </si>
  <si>
    <t>Relé fotoelétrico 127V - 1200W resistivo c/ fotocélula</t>
  </si>
  <si>
    <t>Disjuntor Tripolar Termomagnético - norma DIN   100A - 10 kA</t>
  </si>
  <si>
    <t>Disjuntor Unipolar Termomagnético - norma DIN   10 A - 10 kA</t>
  </si>
  <si>
    <t>Disjuntor bipolar termomagnético (220 V/127 V) - DIN   10 A - 5 kA</t>
  </si>
  <si>
    <t>Disjuntor bipolar termomagnético (380 V/220 V) - DIN  16 A - 4.5 kA</t>
  </si>
  <si>
    <t>Disjuntor tripolar termomagnético (220 V/127 V) - DIN  100 A - 40 kA</t>
  </si>
  <si>
    <t>76 pç</t>
  </si>
  <si>
    <t>26 pç</t>
  </si>
  <si>
    <t>Eletroduto  PVC encaixe vara 3,0m 3/4"</t>
  </si>
  <si>
    <t>15.9 m</t>
  </si>
  <si>
    <t>Eletroduto  PVC encaixe vara 3,0m 3/4" em forro</t>
  </si>
  <si>
    <t>65 m</t>
  </si>
  <si>
    <t>Eletroduto PVC flexível leve 1"</t>
  </si>
  <si>
    <t>10 m</t>
  </si>
  <si>
    <t>Eletroduto PVC flexível leve 3/4"</t>
  </si>
  <si>
    <t>277.25 m</t>
  </si>
  <si>
    <t>Eletroduto PVC flexível leve 3/4" em parede</t>
  </si>
  <si>
    <t>Eletroduto PVC flexível pesado 1.1/2"</t>
  </si>
  <si>
    <t>Entrada de serviço - CEMAT (Multiplex) Trifásico T4</t>
  </si>
  <si>
    <t>Luminária embutir p/ fluoresc. Tubular 4x20 W</t>
  </si>
  <si>
    <t>Refletores 10W</t>
  </si>
  <si>
    <t>11 pç</t>
  </si>
  <si>
    <t>Refletores 50W</t>
  </si>
  <si>
    <t>3 pç</t>
  </si>
  <si>
    <t>Lâmpadas Tubular Led 20W</t>
  </si>
  <si>
    <t>92 pç</t>
  </si>
  <si>
    <t>Quadro distrib. chapa pintada - embutir Barr. trif., disj. geral - DIN  Cap. 32 disj. unip. - In barr. 150A</t>
  </si>
  <si>
    <t xml:space="preserve">CABEAMENTO ESTRUTURADO </t>
  </si>
  <si>
    <t>Conector RJ45 (CM8v)</t>
  </si>
  <si>
    <t>PABX 50/300</t>
  </si>
  <si>
    <t>Plugue 110 IDC - 4 pares</t>
  </si>
  <si>
    <t>Plugue RJ45 (CM8v)</t>
  </si>
  <si>
    <t>59 pç</t>
  </si>
  <si>
    <t>Switch (10/100)BaseTX + (1000)Base T (24 + 2) portas</t>
  </si>
  <si>
    <t>Guia de cabos aberto 1U</t>
  </si>
  <si>
    <t>Guia de cabos simples P/ Rack aberto 19"</t>
  </si>
  <si>
    <t>Guias de cabos vertical P/ Rack aberto 19"</t>
  </si>
  <si>
    <t>Condulete alum. encaixe tipo C 1" sem tampa</t>
  </si>
  <si>
    <t>Cabo FTP-5e Blindado (24AWG)</t>
  </si>
  <si>
    <t>84 m</t>
  </si>
  <si>
    <t>Cabo UTP-5e (24AWG)</t>
  </si>
  <si>
    <t>563.5 m</t>
  </si>
  <si>
    <t>Caixa de passagem - embutir Alvenaria 400x400x400mm</t>
  </si>
  <si>
    <t>Caixa de passagem - embutir Alvenaria c/ Tampa 400x400x50mm</t>
  </si>
  <si>
    <t>Caixa de passagem - sobrepor Aço pintada   250x250x100 mm</t>
  </si>
  <si>
    <t>Caixa de passagem - sobrepor Aço pintada   400x400x150 mm</t>
  </si>
  <si>
    <t>1 MÓDULOS RJ45 CAT 6 - CAIXA DE PVC 4X2 ALTA EMBUTIR c/ Placa 2x4" - Branca</t>
  </si>
  <si>
    <t>1 módulo - RJ45 c/ Placa 2x4" - Branca</t>
  </si>
  <si>
    <t>2 MÓDULOS RJ45 CAT 6 - CONDULETE PVC TIPO C 1" c/ Placa 2x4" - Branca</t>
  </si>
  <si>
    <t xml:space="preserve">2 módulos - RJ45 c/ Placa 2x4" - Branca </t>
  </si>
  <si>
    <t>31 pç</t>
  </si>
  <si>
    <t>Eletroduto PVC encaixe vara 3,0m 3/4" em forro</t>
  </si>
  <si>
    <t>22.6 m</t>
  </si>
  <si>
    <t>38.6 m</t>
  </si>
  <si>
    <t>68.5 m</t>
  </si>
  <si>
    <t>Eletroduto PVC pesado 1.1/4"</t>
  </si>
  <si>
    <t>15.5 m</t>
  </si>
  <si>
    <t>Rack Aberto padrão - 19" 12U</t>
  </si>
  <si>
    <t xml:space="preserve">SPDA </t>
  </si>
  <si>
    <t>Barramento de equipotencialização 5 terminais</t>
  </si>
  <si>
    <t>Caixa de inspeção PVC - Ø250x250mm</t>
  </si>
  <si>
    <t>Haste de aterramento - cobreada 3/4" x 2,40m</t>
  </si>
  <si>
    <t>Haste de aterramento - cobreada 3/4" x 3,00m</t>
  </si>
  <si>
    <t>Cabo de cobre Nú - 7 fios 25mm²</t>
  </si>
  <si>
    <t>7.69 m</t>
  </si>
  <si>
    <t>Cabo de cobre Nú - 7 fios 35mm²</t>
  </si>
  <si>
    <t>137.93 m</t>
  </si>
  <si>
    <t>Cabo de cobre Nú - 7 fios 50mm²</t>
  </si>
  <si>
    <t>107.93 m</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</si>
  <si>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</si>
  <si>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</si>
  <si>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</si>
  <si>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</si>
  <si>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</si>
  <si>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</si>
  <si>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</si>
  <si>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</si>
  <si>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</si>
  <si>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</si>
  <si>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</si>
  <si>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</si>
  <si>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</si>
  <si>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</si>
  <si>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</si>
  <si>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</si>
  <si>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</si>
  <si>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</si>
  <si>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</si>
  <si>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</si>
  <si>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</si>
  <si>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</si>
  <si>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</si>
  <si>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</si>
  <si>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</si>
  <si>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</si>
  <si>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</si>
  <si>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</si>
  <si>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</si>
  <si>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</si>
  <si>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</si>
  <si>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</si>
  <si>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</si>
  <si>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</si>
  <si>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</si>
  <si>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</si>
  <si>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</si>
  <si>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</si>
  <si>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</si>
  <si>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</si>
  <si>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</si>
  <si>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</si>
  <si>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</si>
  <si>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</si>
  <si>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</si>
  <si>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</si>
  <si>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</si>
  <si>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</si>
  <si>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</si>
  <si>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CORTE E DOBRA DE AÇO CA-50, DIÂMETRO DE 10,0 MM, UTILIZADO EM ESTRUTURAS DIVERSAS, EXCETO LAJES. AF_12/2015</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</si>
  <si>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</si>
  <si>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</si>
  <si>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</si>
  <si>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</si>
  <si>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ELETRODUTO FLEXÍVEL CORRUGADO, PEAD, DN 50 (11/2") - FORNECIMENTO E INSTALAÇÃO. AF_04/2016</t>
  </si>
  <si>
    <t>COMP ESTR 04</t>
  </si>
  <si>
    <t>4.4.6</t>
  </si>
  <si>
    <t>4.4.8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</si>
  <si>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</si>
  <si>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</si>
  <si>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4.5.8</t>
  </si>
  <si>
    <t>4.5.9</t>
  </si>
  <si>
    <t>4.5.10</t>
  </si>
  <si>
    <t>ARMAÇÃO DE PILAR OU VIGA DE UMA ESTRUTURA CONVENCIONAL DE CONCRETO ARMADO EM UMA EDIFICAÇÃO TÉRREA OU SOBRADO UTILIZANDO AÇO CA-50 DE 20,0 MM - MONTAGEM. AF_12/2015</t>
  </si>
  <si>
    <t>4.6</t>
  </si>
  <si>
    <t>VIGAS DE PLATIBANDA</t>
  </si>
  <si>
    <t>4.6.1</t>
  </si>
  <si>
    <t>4.6.2</t>
  </si>
  <si>
    <t>4.6.5</t>
  </si>
  <si>
    <t>4.6.3</t>
  </si>
  <si>
    <t>4.6.4</t>
  </si>
  <si>
    <t>FECHAMENTOS EM ALVENARIA</t>
  </si>
  <si>
    <t>6.2</t>
  </si>
  <si>
    <t>10.1.1</t>
  </si>
  <si>
    <t>TELHAMENTO E ACESSÓRIOS</t>
  </si>
  <si>
    <t>10.2.1</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</si>
  <si>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</si>
  <si>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</si>
  <si>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</si>
  <si>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</si>
  <si>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</si>
  <si>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</si>
  <si>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</si>
  <si>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</si>
  <si>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</si>
  <si>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</si>
  <si>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</si>
  <si>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</si>
  <si>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</si>
  <si>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</si>
  <si>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</si>
  <si>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</si>
  <si>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</si>
  <si>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</si>
  <si>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</si>
  <si>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</si>
  <si>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</si>
  <si>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</si>
  <si>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</si>
  <si>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</si>
  <si>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</si>
  <si>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</si>
  <si>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</si>
  <si>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</si>
  <si>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</si>
  <si>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</si>
  <si>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</si>
  <si>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</si>
  <si>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</si>
  <si>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</si>
  <si>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</si>
  <si>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</si>
  <si>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</si>
  <si>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</si>
  <si>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</si>
  <si>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</si>
  <si>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</si>
  <si>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</si>
  <si>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</si>
  <si>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</si>
  <si>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</si>
  <si>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</si>
  <si>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</si>
  <si>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</si>
  <si>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</si>
  <si>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</si>
  <si>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</si>
  <si>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</si>
  <si>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</si>
  <si>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</si>
  <si>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</si>
  <si>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</si>
  <si>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</si>
  <si>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</si>
  <si>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</si>
  <si>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</si>
  <si>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</si>
  <si>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</si>
  <si>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</si>
  <si>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</si>
  <si>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</si>
  <si>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</si>
  <si>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</si>
  <si>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</si>
  <si>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</si>
  <si>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</si>
  <si>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</si>
  <si>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</si>
  <si>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</si>
  <si>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</si>
  <si>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</si>
  <si>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</si>
  <si>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</si>
  <si>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</si>
  <si>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</si>
  <si>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</si>
  <si>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</si>
  <si>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</si>
  <si>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</si>
  <si>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</si>
  <si>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</si>
  <si>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</si>
  <si>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</si>
  <si>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</si>
  <si>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</si>
  <si>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</si>
  <si>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</si>
  <si>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</si>
  <si>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</si>
  <si>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</si>
  <si>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</si>
  <si>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</si>
  <si>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</si>
  <si>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</si>
  <si>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</si>
  <si>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</si>
  <si>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</si>
  <si>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</si>
  <si>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</si>
  <si>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</si>
  <si>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</si>
  <si>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</si>
  <si>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</si>
  <si>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18.5</t>
  </si>
  <si>
    <t>18.6</t>
  </si>
  <si>
    <t>FECHAMENTO E REVESTIMENTO DO MURO</t>
  </si>
  <si>
    <t>PINTURA DO MURO</t>
  </si>
  <si>
    <t>PILARES DO MURO</t>
  </si>
  <si>
    <t>5.5</t>
  </si>
  <si>
    <t>5.6</t>
  </si>
  <si>
    <t>5.7</t>
  </si>
  <si>
    <t>5.8</t>
  </si>
  <si>
    <t>5.9</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</si>
  <si>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</si>
  <si>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</si>
  <si>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</si>
  <si>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</si>
  <si>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</si>
  <si>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</si>
  <si>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</si>
  <si>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</si>
  <si>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</si>
  <si>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</si>
  <si>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</si>
  <si>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</si>
  <si>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</si>
  <si>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</si>
  <si>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</si>
  <si>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</si>
  <si>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</si>
  <si>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</si>
  <si>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</si>
  <si>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</si>
  <si>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</si>
  <si>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</si>
  <si>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</si>
  <si>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</si>
  <si>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</si>
  <si>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</si>
  <si>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</si>
  <si>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</si>
  <si>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</si>
  <si>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</si>
  <si>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</si>
  <si>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</si>
  <si>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</si>
  <si>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</si>
  <si>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</si>
  <si>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</si>
  <si>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</si>
  <si>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SOLVENTE DILUENTE A BASE DE AGUARRAS</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</si>
  <si>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</si>
  <si>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</si>
  <si>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</si>
  <si>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</si>
  <si>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</si>
  <si>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</si>
  <si>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</si>
  <si>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</si>
  <si>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</si>
  <si>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</si>
  <si>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WALSYWA - (19)3948-5230</t>
  </si>
  <si>
    <t>05.896.435/0005-03</t>
  </si>
  <si>
    <t>THAYANE</t>
  </si>
  <si>
    <t>O valor total de 437,29 (incluso impostos e fretes) foi dividido pela quantidade 200 para chegar ao valor unitário</t>
  </si>
  <si>
    <t>A COTAÇÃO FOI FEITA DIRETAMENTE NO FABRICANTE, AS EMPRESAS DO MERCADO LOCAL NÃO POSSUEM O CHUMBADOR ESPECIFICADO NO PROJETO</t>
  </si>
  <si>
    <t>COMP ESTR 07</t>
  </si>
  <si>
    <t>COMP ESTR 08</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</si>
  <si>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</si>
  <si>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</si>
  <si>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</si>
  <si>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</si>
  <si>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</si>
  <si>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</si>
  <si>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</si>
  <si>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</si>
  <si>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</si>
  <si>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</si>
  <si>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</si>
  <si>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</si>
  <si>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</si>
  <si>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</si>
  <si>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</si>
  <si>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</si>
  <si>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</si>
  <si>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</si>
  <si>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</si>
  <si>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</si>
  <si>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</si>
  <si>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</si>
  <si>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</si>
  <si>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</si>
  <si>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</si>
  <si>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</si>
  <si>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</si>
  <si>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</si>
  <si>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</si>
  <si>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</si>
  <si>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LEVANTAMENTO QUANTITATIVO DA SEMA DUDS TANGARÁ DA SERRA - R01</t>
  </si>
  <si>
    <t>LAJES TRELIÇADAS TR10644</t>
  </si>
  <si>
    <t>LAJE TRELIÇADA COM ENCHIMENTO EM EPS UNIDIRECIONAL B10/40/49</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</si>
  <si>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</si>
  <si>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</si>
  <si>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</si>
  <si>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</si>
  <si>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</si>
  <si>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</si>
  <si>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</si>
  <si>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t>P5 - 2 folhas</t>
  </si>
  <si>
    <t>PORTA DE ABRIR EM ALUMÍNIO E VIDRO 8MM  - 2 FOLHAS</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</si>
  <si>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</si>
  <si>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</si>
  <si>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</si>
  <si>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</si>
  <si>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1,50X2,45 M, COM ACIONAMENTO ELÉTRICO</t>
  </si>
  <si>
    <t>FORNECIMENTO E INSTALAÇÃO DE PORTÃO DE CORRER DE  3,90X2,45 M, COM ACIONAMENTO ELÉTRICO</t>
  </si>
  <si>
    <t>FORNECIMENTO E INSTALAÇÃO DE PORTÃO DE CORRER, 2 FOLHAS, DE  3,90X2,45 M, COM ACIONAMENTO ELÉTRICO</t>
  </si>
  <si>
    <t>ESQUADRIAS EM FERRO</t>
  </si>
  <si>
    <t>FACHADA</t>
  </si>
  <si>
    <t>18.7</t>
  </si>
  <si>
    <t>18.8</t>
  </si>
  <si>
    <t>18.9</t>
  </si>
  <si>
    <t>18.10</t>
  </si>
  <si>
    <t>18.12</t>
  </si>
  <si>
    <t>18.13</t>
  </si>
  <si>
    <t>18.14</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</si>
  <si>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</si>
  <si>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</si>
  <si>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</si>
  <si>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</si>
  <si>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</si>
  <si>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</si>
  <si>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</si>
  <si>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P1 - 2 folhas</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</si>
  <si>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</si>
  <si>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</si>
  <si>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</si>
  <si>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</si>
  <si>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</si>
  <si>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PORTA DE ABRIR DE FERRO EM CHAPA CORRUGADA, COM DUAS FOLHAS, DE 1,60X2,10 M</t>
  </si>
  <si>
    <t>CÁLCULA-SE EM VOLUME (m³) MULTIPLICANDO A ÁREA DO TERRENO A SER LIMPA E DESTOCADA POR UMA ALTURA DE 20 CM E SE FOR SOMENTE LIMPEZA SEM DESTOCAR ESSA ALTURA É DE 15 CM.</t>
  </si>
  <si>
    <r>
      <t>PORTA DE ABRIR DE FERRO EM CHAPA CORRUGADA, 2 FOLHAS</t>
    </r>
    <r>
      <rPr>
        <sz val="11"/>
        <color rgb="FFFF0000"/>
        <rFont val="Arial"/>
        <family val="2"/>
      </rPr>
      <t xml:space="preserve">, </t>
    </r>
    <r>
      <rPr>
        <sz val="11"/>
        <rFont val="Arial"/>
        <family val="2"/>
      </rPr>
      <t>DE 1,60X2,10 M</t>
    </r>
  </si>
  <si>
    <t>33,36 - 3,36=30m</t>
  </si>
  <si>
    <t>57,30 - 23 = 34,30</t>
  </si>
  <si>
    <t>5.10</t>
  </si>
  <si>
    <t>5.11</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</si>
  <si>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</si>
  <si>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</si>
  <si>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</si>
  <si>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</si>
  <si>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</si>
  <si>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</si>
  <si>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</si>
  <si>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</si>
  <si>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</si>
  <si>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</si>
  <si>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</si>
  <si>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VERGA MOLDADA IN LOCO COM UTILIZAÇÃO DE BLOCOS CANALETA PARA JANELAS COM MAIS DE 1,5 M DE VÃO. AF_03/2016</t>
  </si>
  <si>
    <t>ALVENARIA DE VEDAÇÃO COM ELEMENTO VAZADO DE CONCRETO (COBOGÓ) DE 7X50X50CM E ARGAMASSA DE ASSENTAMENTO COM PREPARO EM BETONEIRA. AF_05/2020</t>
  </si>
  <si>
    <t>SE PARA</t>
  </si>
  <si>
    <t>H= 0,07m -------- 0,188 m²                                                                                 H=0,15m ------- X                                                                                                                      X = 0,4028 m²</t>
  </si>
  <si>
    <t>GUIA (MEIO-FIO) CONCRETO, MOLDADA IN LOCO EM TRECHO CURVO COM EXTRUSORA, 15 CM BASE X 30 CM ALTURA. AF_06/2016</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</si>
  <si>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</si>
  <si>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</si>
  <si>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</si>
  <si>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</si>
  <si>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</si>
  <si>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</si>
  <si>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311 un * 0,25m = 77,75</t>
  </si>
  <si>
    <t>metros</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</si>
  <si>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</si>
  <si>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</si>
  <si>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</si>
  <si>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</si>
  <si>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</si>
  <si>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</si>
  <si>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</si>
  <si>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</si>
  <si>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</si>
  <si>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</si>
  <si>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</si>
  <si>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MOLDURA CANTONEIRA EM ALUMÍNIO PERFIL L - 3/4"X3/4"X1/8"</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</si>
  <si>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</si>
  <si>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</si>
  <si>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</si>
  <si>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</si>
  <si>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</si>
  <si>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</si>
  <si>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</si>
  <si>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</si>
  <si>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</si>
  <si>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</si>
  <si>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</si>
  <si>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</si>
  <si>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</si>
  <si>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</si>
  <si>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</si>
  <si>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</si>
  <si>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</si>
  <si>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</si>
  <si>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</si>
  <si>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</si>
  <si>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</si>
  <si>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</si>
  <si>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</si>
  <si>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</si>
  <si>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</si>
  <si>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</si>
  <si>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</si>
  <si>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</si>
  <si>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</si>
  <si>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</si>
  <si>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</si>
  <si>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</si>
  <si>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</si>
  <si>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</si>
  <si>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</si>
  <si>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</si>
  <si>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</si>
  <si>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</si>
  <si>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</si>
  <si>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</si>
  <si>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</si>
  <si>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</si>
  <si>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</si>
  <si>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</si>
  <si>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</si>
  <si>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</si>
  <si>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18</t>
  </si>
  <si>
    <t>COMP ELE 16</t>
  </si>
  <si>
    <t>Composição de referência para os coeficientes de consumo: 12336/ORSE-02/2021</t>
  </si>
  <si>
    <t>CABO ELETRÔNICO CATEGORIA 5E, INSTALADO EM EDIFICAÇÃO INSTITUCIONAL - FORNECIMENTO E INSTALAÇÃO. AF_11/2019</t>
  </si>
  <si>
    <t>UTP - 5E</t>
  </si>
  <si>
    <t>CABEAMENTO</t>
  </si>
  <si>
    <t>BAIXA TENSÃO</t>
  </si>
  <si>
    <t>Composição de referência para os coeficientes de consumo: 66.20.150/CPOS-MAR/21</t>
  </si>
  <si>
    <t>GUIA ORGANIZADORA DE CABOS PARA RACK, 19´ 1 U</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</si>
  <si>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</si>
  <si>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</si>
  <si>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</si>
  <si>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</si>
  <si>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Composição de referência para os coeficientes de consumo: 40.20.240/CPOS-JUN/20</t>
  </si>
  <si>
    <t>PLUGUE 110 IDC - 4 PARES</t>
  </si>
  <si>
    <t>PLUGUE RJ45 (CM8v)</t>
  </si>
  <si>
    <t xml:space="preserve">BRAÇADEIRA TIPO CUNHA </t>
  </si>
  <si>
    <t>FORNECIMENTO E INSTALAÇÃO DE CENTRAL TELEFÔNICA PABX 50/300</t>
  </si>
  <si>
    <t>CABO DE REDE FTP 5E 24 AWG</t>
  </si>
  <si>
    <t>(CABO BLINDADO)</t>
  </si>
  <si>
    <t>FORNECIMENTO E INSTALAÇÃO DE CENTRAL TELEFÔNICA PABX</t>
  </si>
  <si>
    <t>CABO DE REDE FTP 5E (24 AWG)</t>
  </si>
  <si>
    <t>Composição de referência para os coeficientes de consumo: Serviço de Terceiro</t>
  </si>
  <si>
    <t>CABO DE REDE BLINDADO FTP 5E 24 AWG</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</si>
  <si>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</si>
  <si>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</si>
  <si>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</si>
  <si>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</si>
  <si>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</si>
  <si>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</si>
  <si>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</si>
  <si>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</si>
  <si>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</si>
  <si>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</si>
  <si>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</si>
  <si>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</si>
  <si>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HASTE DE ATERRAMENTO 3/4X2,40M PARA SPDA - FORNECIMENTO E INSTALAÇÃO.</t>
  </si>
  <si>
    <t>HASTE DE ATERRAMENTO EM AÇO COM 2,40M DE COMPRIMENTO E DN 3/4",REVESTIMENTO COM BAIXA CAMADA DE COBRE,SEM CONECTOR.</t>
  </si>
  <si>
    <t>COMP ELE 19</t>
  </si>
  <si>
    <t>Composição de referência para os coeficientes de consumo: 96986/SINAPI-05/2021</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</si>
  <si>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</si>
  <si>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</si>
  <si>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</si>
  <si>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</si>
  <si>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</si>
  <si>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</si>
  <si>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LUVA PARA ELETRODUTO, PVC, SOLDÁVEL, DN 25 MM (3/4), APARENTE, INSTALADA EM TETO - FORNECIMENTO E INSTALAÇÃO. AF_11/2016_P</t>
  </si>
  <si>
    <t>COMP ELE 21</t>
  </si>
  <si>
    <t>COMP ELE 22</t>
  </si>
  <si>
    <r>
      <t xml:space="preserve">Interruptor simples - 1 tecla C/ </t>
    </r>
    <r>
      <rPr>
        <sz val="10"/>
        <color rgb="FFFF0000"/>
        <rFont val="Arial"/>
        <family val="2"/>
      </rPr>
      <t>Placa 2x4" c/ furo</t>
    </r>
  </si>
  <si>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</si>
  <si>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</si>
  <si>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</si>
  <si>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</si>
  <si>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</si>
  <si>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</si>
  <si>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</si>
  <si>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</si>
  <si>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</si>
  <si>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</si>
  <si>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</si>
  <si>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</si>
  <si>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</si>
  <si>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</si>
  <si>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DISJUNTOR TERMOMAGNETICO TRIPOLAR DIN 100A ,40 KA FORNECIMENTO E INSTALACAO</t>
  </si>
  <si>
    <t xml:space="preserve">DISJUNTOR TERMOMAGNETICO TRIPOLAR DIN 100A ,40 KA </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</si>
  <si>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</si>
  <si>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</si>
  <si>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</si>
  <si>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</si>
  <si>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r>
      <rPr>
        <sz val="10"/>
        <color rgb="FFFF0000"/>
        <rFont val="Arial"/>
        <family val="2"/>
      </rPr>
      <t>Eletroduto PVC encaixe</t>
    </r>
    <r>
      <rPr>
        <sz val="10"/>
        <color theme="1"/>
        <rFont val="Arial"/>
        <family val="2"/>
      </rPr>
      <t xml:space="preserve"> Braçadeira galvan. tipo cunha 3/4"</t>
    </r>
  </si>
  <si>
    <r>
      <rPr>
        <sz val="10"/>
        <color rgb="FFFF0000"/>
        <rFont val="Arial"/>
        <family val="2"/>
      </rPr>
      <t>Eletroduto PVC encaixe</t>
    </r>
    <r>
      <rPr>
        <sz val="10"/>
        <color theme="1"/>
        <rFont val="Arial"/>
        <family val="2"/>
      </rPr>
      <t xml:space="preserve"> Braçadeira galvan. tipo unha 3/4"</t>
    </r>
  </si>
  <si>
    <t xml:space="preserve">LUMINÁRIA TIPO CALHA, DE EMBUTIR, COM 4 LÂMPADAS TUBULARES LED DE 20 W - FORNECIMENTO E INSTALAÇÃO. </t>
  </si>
  <si>
    <t>ELETRODUTO RÍGIDO SOLDÁVEL, PVC, DN 25 MM (3/4), APARENTE, INSTALADO EM PAREDE - FORNECIMENTO E INSTALAÇÃO. AF_11/2016_P</t>
  </si>
  <si>
    <t>ELETRODUTO RÍGIDO SOLDÁVEL, PVC, DN 25 MM (3/4), APARENTE, INSTALADO EM TETO - FORNECIMENTO E INSTALAÇÃO. AF_11/2016_P</t>
  </si>
  <si>
    <t>ELETRODUTO FLEXÍVEL CORRUGADO, PVC, DN 25 MM (3/4"), PARA CIRCUITOS TERMINAIS, INSTALADO EM PAREDE - FORNECIMENTO E INSTALAÇÃO. AF_12/2015</t>
  </si>
  <si>
    <t>Composição de referência para os coeficientes de consumo: 171411/SEDOP-04/2020</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</si>
  <si>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</si>
  <si>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</si>
  <si>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</si>
  <si>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</si>
  <si>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</si>
  <si>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</si>
  <si>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</si>
  <si>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</si>
  <si>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PARAFUSO METAL 21/2"X12 P/ BUCHA s-10</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</si>
  <si>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</si>
  <si>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</si>
  <si>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</si>
  <si>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</si>
  <si>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</si>
  <si>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</si>
  <si>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</si>
  <si>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</si>
  <si>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</si>
  <si>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</si>
  <si>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</si>
  <si>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</si>
  <si>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</si>
  <si>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</si>
  <si>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</si>
  <si>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</si>
  <si>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</si>
  <si>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</si>
  <si>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</si>
  <si>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</si>
  <si>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</si>
  <si>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</si>
  <si>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</si>
  <si>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</si>
  <si>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</si>
  <si>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</si>
  <si>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</si>
  <si>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</si>
  <si>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</si>
  <si>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</si>
  <si>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</si>
  <si>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</si>
  <si>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7+12=19 ( 7 OITIS + 9 IPÊS)</t>
  </si>
  <si>
    <t>SINGÔNIO - JD INTERNO</t>
  </si>
  <si>
    <t>PLANTIO DE FORRAÇÃO. AF_05/2018</t>
  </si>
  <si>
    <t>COMP 27</t>
  </si>
  <si>
    <t>DESENHO E COMUNICAÇÃO VISUAL</t>
  </si>
  <si>
    <t>Débora Chauvin                                                                               (65) 3631-4227</t>
  </si>
  <si>
    <t>COMP 28</t>
  </si>
  <si>
    <t>FORNECIMENTO E ESPALHAMENTO DE TERRA VEGETAL PREPARADA</t>
  </si>
  <si>
    <t>209,24m²*0,05m=10,46m³</t>
  </si>
  <si>
    <t>Composição de referência para os coeficientes de consumo: 2394/ORSE - 02/2021</t>
  </si>
  <si>
    <t>TERRA VEGETAL</t>
  </si>
  <si>
    <t>EXECUÇÃO DE PASSEIO (CALÇADA) OU PISO DE CONCRETO COM CONCRETO MOLDADO IN LOCO, FEITO EM OBRA, ACABAMENTO CONVENCIONAL, ESPESSURA 8 CM, ARMADO. AF_07/2016</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</si>
  <si>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</si>
  <si>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</si>
  <si>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</si>
  <si>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</si>
  <si>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</si>
  <si>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</si>
  <si>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</si>
  <si>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</si>
  <si>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</si>
  <si>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</si>
  <si>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</si>
  <si>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</si>
  <si>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</si>
  <si>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</si>
  <si>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</si>
  <si>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</si>
  <si>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</si>
  <si>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</si>
  <si>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</si>
  <si>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</si>
  <si>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</si>
  <si>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</si>
  <si>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</si>
  <si>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</si>
  <si>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</si>
  <si>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</si>
  <si>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</si>
  <si>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</si>
  <si>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</si>
  <si>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</si>
  <si>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</si>
  <si>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</si>
  <si>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</si>
  <si>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</si>
  <si>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</si>
  <si>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</si>
  <si>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</si>
  <si>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</si>
  <si>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</si>
  <si>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</si>
  <si>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</si>
  <si>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</si>
  <si>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</si>
  <si>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</si>
  <si>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</si>
  <si>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</si>
  <si>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</si>
  <si>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</si>
  <si>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</si>
  <si>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</si>
  <si>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</si>
  <si>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</si>
  <si>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</si>
  <si>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</si>
  <si>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</si>
  <si>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</si>
  <si>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</si>
  <si>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m131</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</si>
  <si>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</si>
  <si>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</si>
  <si>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</si>
  <si>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</si>
  <si>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</si>
  <si>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</si>
  <si>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</si>
  <si>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</si>
  <si>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</si>
  <si>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FOSSA SEPTICA, SEM FILTRO, PARA 8 A 14 CONTRIBUINTES, CILINDRICA, COM TAMPA, EM POLIETILENO DE ALTA DENSIDADE (PEAD), CAPACIDADE APROXIMADA DE 3000 LITROS (NBR 7229)</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</si>
  <si>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</si>
  <si>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</si>
  <si>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</si>
  <si>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</si>
  <si>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</si>
  <si>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</si>
  <si>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</si>
  <si>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</si>
  <si>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</si>
  <si>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</si>
  <si>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</si>
  <si>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</si>
  <si>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</si>
  <si>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</si>
  <si>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</si>
  <si>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</si>
  <si>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</si>
  <si>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</si>
  <si>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</si>
  <si>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</si>
  <si>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</si>
  <si>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</si>
  <si>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</si>
  <si>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</si>
  <si>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</si>
  <si>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</si>
  <si>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</si>
  <si>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</si>
  <si>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</si>
  <si>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</si>
  <si>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</si>
  <si>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</si>
  <si>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</si>
  <si>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</si>
  <si>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</si>
  <si>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</si>
  <si>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</si>
  <si>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 xml:space="preserve">2 UN </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</si>
  <si>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</si>
  <si>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</si>
  <si>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</si>
  <si>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</si>
  <si>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</si>
  <si>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</si>
  <si>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</si>
  <si>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</si>
  <si>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 xml:space="preserve">1 UN </t>
  </si>
  <si>
    <t>Joelho 90 soldável c/ rosca 25 mm - 3/4"</t>
  </si>
  <si>
    <t xml:space="preserve">Joelho de redução soldável c/ rosca 25 mm - 1/2" </t>
  </si>
  <si>
    <t>Luva soldável c/ rosca 25 mm -3/4"</t>
  </si>
  <si>
    <t>Bucha de redução sold. Longa 50 mm - 25 mm</t>
  </si>
  <si>
    <t>55,66 m</t>
  </si>
  <si>
    <t>14,87 m</t>
  </si>
  <si>
    <t>Tê de redução 90 soldável  50 mm - 25 mm</t>
  </si>
  <si>
    <t xml:space="preserve">5 un </t>
  </si>
  <si>
    <t xml:space="preserve">2 un </t>
  </si>
  <si>
    <t>Joelho 90º soldável com  bucha de latão  25 mm - 3/4"</t>
  </si>
  <si>
    <t xml:space="preserve">1 un </t>
  </si>
  <si>
    <t>Joelho de redução 90º soldável com bucha de latão 3/4" - 1/2"</t>
  </si>
  <si>
    <t xml:space="preserve">9 un </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</si>
  <si>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</si>
  <si>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</si>
  <si>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</si>
  <si>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</si>
  <si>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</si>
  <si>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</si>
  <si>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</si>
  <si>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</si>
  <si>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</si>
  <si>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</si>
  <si>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</si>
  <si>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</si>
  <si>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</si>
  <si>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</si>
  <si>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</si>
  <si>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</si>
  <si>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</si>
  <si>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</si>
  <si>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</si>
  <si>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</si>
  <si>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</si>
  <si>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</si>
  <si>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</si>
  <si>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</si>
  <si>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</si>
  <si>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</si>
  <si>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</si>
  <si>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</si>
  <si>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</si>
  <si>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</si>
  <si>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</si>
  <si>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</si>
  <si>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</si>
  <si>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</si>
  <si>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</si>
  <si>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</si>
  <si>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</si>
  <si>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</si>
  <si>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</si>
  <si>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</si>
  <si>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</si>
  <si>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</si>
  <si>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</si>
  <si>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</si>
  <si>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</si>
  <si>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</si>
  <si>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</si>
  <si>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</si>
  <si>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</si>
  <si>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</si>
  <si>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</si>
  <si>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</si>
  <si>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</si>
  <si>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</si>
  <si>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</si>
  <si>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</si>
  <si>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</si>
  <si>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</si>
  <si>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</si>
  <si>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</si>
  <si>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</si>
  <si>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</si>
  <si>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</si>
  <si>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</si>
  <si>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</si>
  <si>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</si>
  <si>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</si>
  <si>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</si>
  <si>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</si>
  <si>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</si>
  <si>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</si>
  <si>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</si>
  <si>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</si>
  <si>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</si>
  <si>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</si>
  <si>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</si>
  <si>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</si>
  <si>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</si>
  <si>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</si>
  <si>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</si>
  <si>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</si>
  <si>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</si>
  <si>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</si>
  <si>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</si>
  <si>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</si>
  <si>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</si>
  <si>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</si>
  <si>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</si>
  <si>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</si>
  <si>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</si>
  <si>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</si>
  <si>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</si>
  <si>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</si>
  <si>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</si>
  <si>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</si>
  <si>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</si>
  <si>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</si>
  <si>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</si>
  <si>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</si>
  <si>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</si>
  <si>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</si>
  <si>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</si>
  <si>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</si>
  <si>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</si>
  <si>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</si>
  <si>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</si>
  <si>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</si>
  <si>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</si>
  <si>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</si>
  <si>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</si>
  <si>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</si>
  <si>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</si>
  <si>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</si>
  <si>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</si>
  <si>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Profundidade Total do Sumidouro (Pts)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</si>
  <si>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</si>
  <si>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</si>
  <si>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</si>
  <si>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</si>
  <si>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</si>
  <si>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</si>
  <si>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</si>
  <si>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</si>
  <si>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</si>
  <si>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 xml:space="preserve">ARMAÇÃO DE LAJE DE UMA ESTRUTURA CONVENCIONAL DE CONCRETO ARMADO EM UMA EDIFICAÇÃO TÉRREA OU SOBRADO UTILIZANDO AÇO CA-60 DE 4,2 MM - MONTAGEM. AF_12/2015 </t>
  </si>
  <si>
    <t>ARMAÇÃO BASE E TAMPA:                                                                                                                37,765 * 2 = 75,53</t>
  </si>
  <si>
    <t>193,72 + 9,03(ETE) = 202,75</t>
  </si>
  <si>
    <t>COMP ETE 01</t>
  </si>
  <si>
    <t>COMP ETE 02</t>
  </si>
  <si>
    <t>ALVENARIA + CHAMINÉ =                                                                                                                                                      18,08+0,62 =18,70 m²</t>
  </si>
  <si>
    <t>COMPOSIÇÕES UNITÁRIAS DE PREÇO DE ESGOTAMENTO SANITÁRIO</t>
  </si>
  <si>
    <t>FORNECIMENTO/INSTALAÇÃO LONA PLÁSTICA PRETA,PARA IMPERMEABILIZAÇÃO, 150 MICRAS</t>
  </si>
  <si>
    <t>Composição de referência para os coeficientes de consumo: 68053/SINAPI -JAN/2020</t>
  </si>
  <si>
    <t>IMPERMEABILIZADOR COM ENCARGOS COMPLEMENTARES</t>
  </si>
  <si>
    <t>Lista de Materiais Sanitario</t>
  </si>
  <si>
    <t>Caixas de Passagem</t>
  </si>
  <si>
    <t>Cx  Inspeção Sifon 60X60 cm</t>
  </si>
  <si>
    <t>3 pç</t>
  </si>
  <si>
    <t>CX GORDURA PVC 30 cm</t>
  </si>
  <si>
    <t>1 pç</t>
  </si>
  <si>
    <t>PVC Esgoto</t>
  </si>
  <si>
    <t>Joelho 45  -  100 mm</t>
  </si>
  <si>
    <t>7 pç</t>
  </si>
  <si>
    <t xml:space="preserve">                   -   50 mm</t>
  </si>
  <si>
    <t>4 pç</t>
  </si>
  <si>
    <t>Joelho 90  - 100 mm</t>
  </si>
  <si>
    <t xml:space="preserve">                  - 50 mm</t>
  </si>
  <si>
    <t xml:space="preserve">                   -75 mm</t>
  </si>
  <si>
    <t>2 pç</t>
  </si>
  <si>
    <t xml:space="preserve">                  - 40 mm</t>
  </si>
  <si>
    <t>Junção simples</t>
  </si>
  <si>
    <t xml:space="preserve">                   -   100 mm - 50 mm</t>
  </si>
  <si>
    <t xml:space="preserve">                   -  100 mm- 100 mm</t>
  </si>
  <si>
    <t xml:space="preserve">                   -   50 mm - 50 mm</t>
  </si>
  <si>
    <t>Terminal de ventilação</t>
  </si>
  <si>
    <t xml:space="preserve">                   - 50 mm</t>
  </si>
  <si>
    <t>8 pç</t>
  </si>
  <si>
    <t xml:space="preserve">                   - 75 mm</t>
  </si>
  <si>
    <t>Tubo rígido c/ ponta lisa</t>
  </si>
  <si>
    <t xml:space="preserve">                  - 100 mm - 4"</t>
  </si>
  <si>
    <t>22.94 m</t>
  </si>
  <si>
    <t>9.72 m</t>
  </si>
  <si>
    <t xml:space="preserve">                 - 50 mm - 2"</t>
  </si>
  <si>
    <t>29.38 m</t>
  </si>
  <si>
    <t xml:space="preserve">                - 75 mm - 3"</t>
  </si>
  <si>
    <t>1.84 m</t>
  </si>
  <si>
    <t>Tê sanitário</t>
  </si>
  <si>
    <t xml:space="preserve">                         - 100 mm - 75 mm</t>
  </si>
  <si>
    <t xml:space="preserve">                         - 50 mm - 50 mm</t>
  </si>
  <si>
    <t>5 pç</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</si>
  <si>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</si>
  <si>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</si>
  <si>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</si>
  <si>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</si>
  <si>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</si>
  <si>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</si>
  <si>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</si>
  <si>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</si>
  <si>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20 mm - 1/2"</t>
  </si>
  <si>
    <t xml:space="preserve">                                          25 mm - 3/4"</t>
  </si>
  <si>
    <t xml:space="preserve">                                                      25 mm - 3/4"</t>
  </si>
  <si>
    <t xml:space="preserve">                                        50 mm- 1.1/2"</t>
  </si>
  <si>
    <t xml:space="preserve">                                                    50 mm- 1.1/2"</t>
  </si>
  <si>
    <t xml:space="preserve">                                                 25 mm - 3/4"</t>
  </si>
  <si>
    <t xml:space="preserve">                                                50 mm- 1.1/2"</t>
  </si>
  <si>
    <t xml:space="preserve">                                              25 mm - 3/4"</t>
  </si>
  <si>
    <t xml:space="preserve">                                             25 mm - 3/4"</t>
  </si>
  <si>
    <t xml:space="preserve">                                            50 mm- 1.1/2"</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</si>
  <si>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</si>
  <si>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</si>
  <si>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</si>
  <si>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</si>
  <si>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</si>
  <si>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</si>
  <si>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</si>
  <si>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</si>
  <si>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                                                              - 40 mm</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</si>
  <si>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</si>
  <si>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</si>
  <si>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</si>
  <si>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</si>
  <si>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</si>
  <si>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</si>
  <si>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</si>
  <si>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</si>
  <si>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</si>
  <si>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</si>
  <si>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</si>
  <si>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</si>
  <si>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</si>
  <si>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</si>
  <si>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</si>
  <si>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</si>
  <si>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</si>
  <si>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</si>
  <si>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</si>
  <si>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</si>
  <si>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</si>
  <si>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</si>
  <si>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</si>
  <si>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</si>
  <si>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</si>
  <si>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</si>
  <si>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</si>
  <si>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</si>
  <si>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</si>
  <si>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</si>
  <si>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</si>
  <si>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</si>
  <si>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</si>
  <si>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</si>
  <si>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</si>
  <si>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</si>
  <si>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</si>
  <si>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</si>
  <si>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</si>
  <si>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</si>
  <si>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</si>
  <si>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</si>
  <si>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</si>
  <si>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LONA PLASTICA PESADA PRETA, E = 150 MICRA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</si>
  <si>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</si>
  <si>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</si>
  <si>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</si>
  <si>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</si>
  <si>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</si>
  <si>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</si>
  <si>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</si>
  <si>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</si>
  <si>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</si>
  <si>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</si>
  <si>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</si>
  <si>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</si>
  <si>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</si>
  <si>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</si>
  <si>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LANÇAMENTO COM USO DE BALDES, ADENSAMENTO E ACABAMENTO DE CONCRETO EM ESTRUTURAS. AF_12/2015</t>
  </si>
  <si>
    <t>ARAME GALVANIZADO 18 BWG, D = 1,24MM (0,009 KG/M)</t>
  </si>
  <si>
    <t>16.5</t>
  </si>
  <si>
    <t>16.6</t>
  </si>
  <si>
    <t>LIMPEZA DE PISO CERÂMICO OU PORCELANATO COM PANO ÚMIDO. AF_04/2019</t>
  </si>
  <si>
    <t>LIMPEZA DE REVESTIMENTO CERÂMICO EM PAREDE COM PANO ÚMIDO AF_04/2019</t>
  </si>
  <si>
    <t>CALÇADAS INTERNAS E EXTERNAS</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</si>
  <si>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</si>
  <si>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</si>
  <si>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</si>
  <si>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</si>
  <si>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</si>
  <si>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</si>
  <si>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ARMAÇÃO DE LAJE DE UMA ESTRUTURA CONVENCIONAL DE CONCRETO ARMADO EM UMA EDIFICAÇÃO TÉRREA OU SOBRADO UTILIZANDO AÇO CA-60 DE 4,2 MM - MONTAGEM. AF_12/2015</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</si>
  <si>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</si>
  <si>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</si>
  <si>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</si>
  <si>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</si>
  <si>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r>
      <t xml:space="preserve">Banheiro PNE Masc.                                         </t>
    </r>
    <r>
      <rPr>
        <sz val="9"/>
        <color indexed="10"/>
        <rFont val="Arial"/>
        <family val="2"/>
      </rPr>
      <t xml:space="preserve">  (</t>
    </r>
    <r>
      <rPr>
        <sz val="9"/>
        <rFont val="Arial"/>
        <family val="2"/>
      </rPr>
      <t>1,85+1,85+1,65+1,65)</t>
    </r>
  </si>
  <si>
    <r>
      <t>Banheiro PNE Fem</t>
    </r>
    <r>
      <rPr>
        <sz val="9"/>
        <color indexed="10"/>
        <rFont val="Arial"/>
        <family val="2"/>
      </rPr>
      <t>.                             (</t>
    </r>
    <r>
      <rPr>
        <sz val="9"/>
        <rFont val="Arial"/>
        <family val="2"/>
      </rPr>
      <t>1,85+1,85+1,65+1,65)</t>
    </r>
  </si>
  <si>
    <t>MASSA ÚNICA PARA PAREDES INTERNAS</t>
  </si>
  <si>
    <t>ÁREA TOTAL MASSA ÚNICA PARA PINTURA</t>
  </si>
  <si>
    <r>
      <t>ÁREA TOTAL DA MASSA ÚNICA</t>
    </r>
    <r>
      <rPr>
        <b/>
        <sz val="9"/>
        <color indexed="10"/>
        <rFont val="Arial"/>
        <family val="2"/>
      </rPr>
      <t xml:space="preserve"> </t>
    </r>
    <r>
      <rPr>
        <b/>
        <sz val="9"/>
        <rFont val="Arial"/>
        <family val="2"/>
      </rPr>
      <t>PARA REVESTIMENTO CERÂMICO</t>
    </r>
  </si>
  <si>
    <t>ÁREA (M³)</t>
  </si>
  <si>
    <t>ÁREA TOTAL CONCRETO (M³)</t>
  </si>
  <si>
    <t>ÁREA TOTAL DO CHAPISCO PARA REVESTIMENTO CERÂMICO</t>
  </si>
  <si>
    <t>ÁREA TOTAL DE REVESTIMENTO CERÂMICO</t>
  </si>
  <si>
    <t>MASSA ÚNICA PARA RECEBIMENTO DE PINTURA - PAREDES EXTERNAS</t>
  </si>
  <si>
    <t xml:space="preserve">MASSA ÚNICA PARA LAJE </t>
  </si>
  <si>
    <t>FRONTÃO = 7m</t>
  </si>
  <si>
    <t>ÁREA TOTAL DO SELADOR PARA PAREDES INTERNAS, UMA DEMÃO.</t>
  </si>
  <si>
    <t>ÁREA TOTAL DO EMASSAMENTO DE PAREDES INTERNAS</t>
  </si>
  <si>
    <t>ÁREA TOTAL DA PINTURA ACRÍLICA EM PAREDES INTERNAS DUAS DEMÃOS</t>
  </si>
  <si>
    <t>ÁREA TOTAL DO SELADOR PARA PAREDES EXTERNAS, UMA DEMÃO</t>
  </si>
  <si>
    <t>ÁREA TOTAL DA TEXTURA PARA PAREDES EXTERNAS, DUAS DEMÃO</t>
  </si>
  <si>
    <r>
      <t xml:space="preserve">15,70+19,2+15,2+12,20+33,60+22,70+13,30 = </t>
    </r>
    <r>
      <rPr>
        <b/>
        <sz val="9"/>
        <rFont val="Arial"/>
        <family val="2"/>
      </rPr>
      <t>131,90</t>
    </r>
  </si>
  <si>
    <t>SEM BEIRAL</t>
  </si>
  <si>
    <t>APLICAÇÃO DE FUNDO SELADOR ACRÍLICO EM TETO, UMA DEMÃO. AF_06/2014</t>
  </si>
  <si>
    <t>APLICAÇÃO MANUAL DE PINTURA COM TINTA LÁTEX ACRÍLICA EM TETO, DUAS DEMÃOS. AF_06/2014</t>
  </si>
  <si>
    <t xml:space="preserve">TEXTURA PARA BEIRAL </t>
  </si>
  <si>
    <t>MASSA TEXTURIZADA ACRÍLICA</t>
  </si>
  <si>
    <t>TINTA ACRÍLICA</t>
  </si>
  <si>
    <t>9.2.4</t>
  </si>
  <si>
    <t>9.2.5</t>
  </si>
  <si>
    <t>COMP 33</t>
  </si>
  <si>
    <t>BLOCOS DE COROAMENTO DE ESTACA DE CONCRETO</t>
  </si>
  <si>
    <t>COMP 34</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</si>
  <si>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</si>
  <si>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</si>
  <si>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</si>
  <si>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</si>
  <si>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</si>
  <si>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</si>
  <si>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</si>
  <si>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</si>
  <si>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Sara Costa                                                     3052-6179</t>
  </si>
  <si>
    <t>ALUMINIA - Esquadrias de Alumínio e PVC</t>
  </si>
  <si>
    <t>ARBUSTO MADEIRAS</t>
  </si>
  <si>
    <t>30.000.438/0001-30</t>
  </si>
  <si>
    <t>REI DO PERGOLADO E DECK</t>
  </si>
  <si>
    <t>4 LETRAS DE 40CM</t>
  </si>
  <si>
    <t>46 LETRAS DE 20CM</t>
  </si>
  <si>
    <t>MASSA ÚNICA TRAÇO 1:4 - MURO</t>
  </si>
  <si>
    <t>1499,19M²*0,2M=299,84M³</t>
  </si>
  <si>
    <t>3.2</t>
  </si>
  <si>
    <t>LIMPEZA TERRENO MAIS ATERRO DE BALDRAME, DE MURETA E DA ETE</t>
  </si>
  <si>
    <t>171,26 m³</t>
  </si>
  <si>
    <t xml:space="preserve">Pedro Miguel Araújo do Santo                                                                                                                                                                                                                                                                                                                                                                                                                                                                                                                                                                                            Engenheiro Civil                                                                                                                                                                                                                                                                                                                                                                                                                                                                                                                                                                                                                                                                                                                                                                                                                                                                                                                                                                                                                                          CREA/MT: 045 990                    </t>
  </si>
  <si>
    <t xml:space="preserve">  Data:  ____ / ____ / _____.</t>
  </si>
  <si>
    <t xml:space="preserve">Renan Paris de Souza                                                                                                                                                                                                                                                                                                                                                                                                                                                                                                                                                                                          Engenheiro Civil                                                                                                                                                                                                                                                                                                                                                                                                                                                                                                                                                                                                                                                                                                                                                                                                                                                                                                                                                                                                                                          CREA/MT: 100728754-3                </t>
  </si>
  <si>
    <t xml:space="preserve">                                                                                                                                                                                                                                                                                </t>
  </si>
  <si>
    <t xml:space="preserve"> Andreia Aragão                                                                                                                                                                                                                                                                                                                                                                                                                                                                                                                                                                                                                                                                                                                                                                                                                                                                                                                                                                                                                                                                                                                                                                                                                                                                                                                                                                                                                                                                                                                                                                                                                                                                                                                                                                                                                                                                                                                                                                                                                                                                                                                                                                                                                                                                                                                                                                                                                                                                                                                                                                                                                                                                                                                                                                                                                                                                                                                                                                                                                                                                                                                                                                                                                                                                                                                                                                                                                                                                                                                                                                                                                                                                                                                                                                                                                                                                                                                                                                                                                                                                                                                                                                                                                                                                                                                                                                                                                                                                                                                                                                                                                                                                                                                                                                                                                                                                                                                                                                                                                                                                                                                                                                                                                                                                         Arquiteta                                                                                                                                                                                                                                                                                                                                                                                                                                                                                                                                                                                                                                                                                                                                                                                                                                                                                                                                                                                                                                                                                                                                                                                             CAU: 79405-8                   </t>
  </si>
  <si>
    <t xml:space="preserve">Adelmo Barros                                                                                                                                                                                                                                                                                                                                                                                                                                                                                                                                                                                                                                                                                                                                                                                                                                                                                                                                                                                                                                                                                                                                                                                                                                                                                                                                                                                                                                                                                                                                                                                                                                                                                                                                                                                                                                                                                                                                                             Engenheiro Sanitarista                                                                                                                                                                                                                                                                                                                                                                                                                                                                                                                                                                                                                                                                                                                                                                                                                                                                                                                                                                                                                                                                                                                                                                                                                                                                                                                                                                                                                                                                                                                                                                                                                                                                                                                                                                                                                                                                                                                                                                                                                                                                                                                                        CREA/MT:                </t>
  </si>
  <si>
    <t xml:space="preserve">Data: </t>
  </si>
  <si>
    <t xml:space="preserve">Murilo Felipe Rebelato                                                                                                                                                                                                                                                                                                                                                                                                                                                                                                                                                                                       Engenheiro Eletricista                                                                                                                                                                                                                                                                                                                                                                                                                                                                                                                                                                                                                                                                                                                                                                                                                                                                                                                                                                                                                               CREA/MT: 120079049-9                </t>
  </si>
  <si>
    <t>GRÁFICA PRINT</t>
  </si>
  <si>
    <t>JM DECKS E PERGOLADOS</t>
  </si>
  <si>
    <t>PAINEL EM MADEIRA DE ITAÚBA PARA BRISE EM FACHADA</t>
  </si>
  <si>
    <t>36.900.033/0001-35</t>
  </si>
  <si>
    <t>04.076.318/0001-07</t>
  </si>
  <si>
    <t>32.920.523/0001-42</t>
  </si>
  <si>
    <t>03.837.148/0001-73</t>
  </si>
  <si>
    <t>CNN PRIME</t>
  </si>
  <si>
    <t>JUCILENE BARROS          36143500</t>
  </si>
  <si>
    <t>07.140.276/0002-03</t>
  </si>
  <si>
    <t>BEIRA RIO  - 2 FERNANDO CORREA</t>
  </si>
  <si>
    <t>20.939.127/0003-40</t>
  </si>
  <si>
    <t>Elaine C Silva Reis                                                                                                                2128-9400</t>
  </si>
  <si>
    <t>Elisangela Martins                                                                9.9253-2956</t>
  </si>
  <si>
    <t>Camilo                                        3028-0383/9616-4710</t>
  </si>
  <si>
    <t>IN-NOVARE</t>
  </si>
  <si>
    <t>PORTAS VIDANY</t>
  </si>
  <si>
    <t>10.355.598/0001-95</t>
  </si>
  <si>
    <t>ADÃO                                                              9.9261-8268</t>
  </si>
  <si>
    <t>32.642.470/0001-45</t>
  </si>
  <si>
    <t>Marcos Antonio Brotto Jr                                                           9.9933-3569</t>
  </si>
  <si>
    <t>MANTOVANI Engenharia e Automação</t>
  </si>
  <si>
    <t>PORTÃO DE CORRER DE  3,90X2,45 M,CHAPA MODELO GRADIL</t>
  </si>
  <si>
    <t>FORNECIMENTO E INSTALAÇÃO DE PORTÃO DE CORRER DE  1,50 X 2,45 M,EM CHAPA MODELO GRADIL</t>
  </si>
  <si>
    <t>PORTÃO DE CORRER DE  1,50 X 2,45 M; EM CHAPA MODELO GRADIL</t>
  </si>
  <si>
    <t>Composição de referência para os coeficientes de consumo:Serviço de Terceiro</t>
  </si>
  <si>
    <t>17.738.504/0001-06</t>
  </si>
  <si>
    <t>Amanda R Gomes da Silva - 9.8422-8484</t>
  </si>
  <si>
    <t>MENDES                                                       3653-6990/9962-2151</t>
  </si>
  <si>
    <t>SM - SERRALHERIA MENDES</t>
  </si>
  <si>
    <t>VIEIRA                                                                     3627-1590</t>
  </si>
  <si>
    <t>MÓDULO 2,50X2,03m</t>
  </si>
  <si>
    <t xml:space="preserve">ENGENHEIRO CIVIL  - 5h / semana * 16 semanas = 80 h                                                                                                    ENCARREGADO - 20 dias/mês * 8 h/dia* 4 meses = 640 h </t>
  </si>
  <si>
    <t>P5 - 2UN</t>
  </si>
  <si>
    <t>MAIS P2</t>
  </si>
  <si>
    <t xml:space="preserve">PORTA EM ALUMÍNIO ANODIZADO DE ABRIR, 2 FOLHAS, 1,30X2,10M , INCLUSIVE VIDRO LAMINADO INCOLOR 8 mm- FORNECIMENTO E INSTALAÇÃO. </t>
  </si>
  <si>
    <t>PORTA EM ALUMÍNIO ANODIZADO DE ABRIR, 2 FOLHAS, 1,30X2,10M , INCLUSIVE VIDRO LAMINADO INCOLOR 8 mm</t>
  </si>
  <si>
    <t>SVG Metalúrgica</t>
  </si>
  <si>
    <t>18.979.315/0001-98</t>
  </si>
  <si>
    <t>contato@svgmetalurgica.com.br/ 3682-6168</t>
  </si>
  <si>
    <t>X = R$ 605,38/m²</t>
  </si>
  <si>
    <t>2,50 X 2,03 = 4,46 m²</t>
  </si>
  <si>
    <t xml:space="preserve"> 4,46 m² ---- R$ 2700,00             1 m²    ----  X                                                                                                      </t>
  </si>
  <si>
    <t>21.441.502/0001-28</t>
  </si>
  <si>
    <t>ART'OFICIAL - Comunicação Visual</t>
  </si>
  <si>
    <t>73.783.649/0001-08</t>
  </si>
  <si>
    <t>Anne Brandão                                                                   3617-7600/9.9228-4530</t>
  </si>
  <si>
    <t>Composição de referência para os coeficientes de consumo :Serviço de terceiro</t>
  </si>
  <si>
    <t>Conjunto de Letras em Caixa,aço inox brilhante, 4 letras tamanho 40 e 46 letras tamanho 20 cm</t>
  </si>
  <si>
    <t>CONJUNTO DE LETRAS EM CAIXA EM AÇO INOX BRILHANTE</t>
  </si>
  <si>
    <t>CUSTO DE FIXAÇÃO - R$ 750,00 para 193 letras</t>
  </si>
  <si>
    <t>Custo fixação por letra = R$ 3,88</t>
  </si>
  <si>
    <t>Para 50 letras - R$ 194,00</t>
  </si>
  <si>
    <t>8960+194=9154,00</t>
  </si>
  <si>
    <t>EVOLUÇÃO SEGURANÇA ELETRÔNICA</t>
  </si>
  <si>
    <t>25.063.508/0001-60</t>
  </si>
  <si>
    <t>PORTAS PARANÁ</t>
  </si>
  <si>
    <t>33.059.676/0001-00</t>
  </si>
  <si>
    <t>3686-1297</t>
  </si>
  <si>
    <t>Composição de referência para os coeficientes de consumo: 74200/001-SINAPI - 02/2016</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</si>
  <si>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</si>
  <si>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</si>
  <si>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</si>
  <si>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CONCRETO FCK = 20MPA, TRAÇO 1:2,6:2,9 (EM MASSA SECA DE CIMENTO/ AREIA MÉDIA/ SEIXO ROLADO) - PREPARO MECÂNICO COM BETONEIRA 400 L. AF_05/2021</t>
  </si>
  <si>
    <t>VERGA 10X10 CM EM CONCRETO PRÉ- MOLDADO FCK=20MPA</t>
  </si>
  <si>
    <t>3*1,70m = 5,10m</t>
  </si>
  <si>
    <t xml:space="preserve">30,02 Kg de Chumbadores = 200 un </t>
  </si>
  <si>
    <t>17.5.4</t>
  </si>
  <si>
    <t>SIFÃO DO TIPO FLEXÍVEL EM PVC  2" -  FORNECIMENTO E INSTALAÇÃO.</t>
  </si>
  <si>
    <t>INST. SANITÁRIAS</t>
  </si>
  <si>
    <t>18.11</t>
  </si>
  <si>
    <t>17.2.1</t>
  </si>
  <si>
    <t>17.2.2</t>
  </si>
  <si>
    <t>17.2.3</t>
  </si>
  <si>
    <t>Bibiane F da Silva                                                       3648-5700</t>
  </si>
  <si>
    <t>07.237.858/0001-13</t>
  </si>
  <si>
    <t>COTELÉTRICA Materiais Elétricos</t>
  </si>
  <si>
    <t>Dirceu dos Santos                                                                                                                           3025-4300</t>
  </si>
  <si>
    <t xml:space="preserve">PARAFUSO(1,75) E BUCHA(0,32) </t>
  </si>
  <si>
    <t>MULTISEG DISTRIBUIDORA</t>
  </si>
  <si>
    <t>09.029.376/0001-01</t>
  </si>
  <si>
    <t xml:space="preserve">  LÍGIA PESSOA                                                                                            3054-5595</t>
  </si>
  <si>
    <t>R$832,00/305m</t>
  </si>
  <si>
    <t>ABRACADEIRA EM ACO PARA AMARRACAO DE ELETRODUTOS, TIPO D, COM 3/4" E UNHA DE FIXACAO</t>
  </si>
  <si>
    <t>UPPER SEG - T.T. DOS SANTOS LTDA</t>
  </si>
  <si>
    <t>17.354.686/0001-88</t>
  </si>
  <si>
    <t>www.upperseg.com.br</t>
  </si>
  <si>
    <t>MULTIFONE TECNOLOGIA</t>
  </si>
  <si>
    <t>00.551.775/0001-55</t>
  </si>
  <si>
    <t>Leandro D Degilio           3618-3906/8463-8889</t>
  </si>
  <si>
    <t>CELETTI</t>
  </si>
  <si>
    <t>36.346.306/0001-41</t>
  </si>
  <si>
    <t>www.celeti.com.br</t>
  </si>
  <si>
    <t>INTELBRAS</t>
  </si>
  <si>
    <t>82.901.000/0001-27</t>
  </si>
  <si>
    <t>lojaintelbras.com.br</t>
  </si>
  <si>
    <t>303,91(ramais) e 49,16(frete)</t>
  </si>
  <si>
    <t>QUADRO DE COTAÇÕES  - RAMAIS ( un  )</t>
  </si>
  <si>
    <t>951,81(PABX) e 353,07(RAMAIS)</t>
  </si>
  <si>
    <t>MENOR PREÇO</t>
  </si>
  <si>
    <t>899,00(PABX) e 353,07(RAMAIS)</t>
  </si>
  <si>
    <t>PRIMETAL</t>
  </si>
  <si>
    <t>35.689.135/0001-90</t>
  </si>
  <si>
    <t>373,71(RACK) e 199,34(FRETE)</t>
  </si>
  <si>
    <t>www.primetal.com.br</t>
  </si>
  <si>
    <t>228,94 E 22,10 FRETE</t>
  </si>
  <si>
    <t>505,31(RACK) E 85,73(FRETE)</t>
  </si>
  <si>
    <t>QUANTITATIVO DO MURO DA SEMA DUDS TANGARA DA SERRA - R01</t>
  </si>
  <si>
    <t>MURO/MURETA COM BLOCO DE CONCRETO 14X19X39</t>
  </si>
  <si>
    <t xml:space="preserve">  Data:  </t>
  </si>
  <si>
    <t>185,78=(1499,19 m² * 0,20 m (altura)* 0,4 empolamento)+40,02(VIGA BALD)+12,08*0,40(ETE)+21m³(MURETA)</t>
  </si>
  <si>
    <t>5573,40m³*Km=185,78m³*30Km</t>
  </si>
  <si>
    <t>17.2.5</t>
  </si>
  <si>
    <t>ARMAÇÃO DE BLOCO, VIGA BALDRAME OU SAPATA UTILIZANDO AÇO CA-50 DE 10 MM - MONTAGEM. AF_06/2017</t>
  </si>
  <si>
    <t>ELETROFIOS MATERIAIS ELÉTRICOS</t>
  </si>
  <si>
    <t>Felipe M. S. Matos                                                                                3618-2500</t>
  </si>
  <si>
    <t xml:space="preserve">PARAFUSO(0,79) E BUCHA(0,27) </t>
  </si>
  <si>
    <t xml:space="preserve">1CAIXA DE PISO --- 0,20 m²    </t>
  </si>
  <si>
    <t>0,20m²  -------- R$ 49,27                                                                                                                                                                              1m²  --------X                                                                                                                                                  X = R$ 246,35/m²</t>
  </si>
  <si>
    <t>BIGOLIN - ACABAMENTOS E ACESSÓRIOS</t>
  </si>
  <si>
    <t>00.364.896/0001-98</t>
  </si>
  <si>
    <t>Rômulo Luiz de Oliveira                                                                   3615-9000</t>
  </si>
  <si>
    <t>ZEUS DO BRASIL - O Shopping da Segurança</t>
  </si>
  <si>
    <t>82.699.588/0001-88</t>
  </si>
  <si>
    <t>Miriam Carolina Rosa                                          (47)3231-1111</t>
  </si>
  <si>
    <t>04.220.944/0001-25</t>
  </si>
  <si>
    <t>MULTI PADRÃO</t>
  </si>
  <si>
    <t>IZABELA                                                                (65)2123-2600</t>
  </si>
  <si>
    <t>BRANEL Comércio de Materiais Elétricos Ltda</t>
  </si>
  <si>
    <t>07.624.206/0001-31</t>
  </si>
  <si>
    <t>CELSO                                                                                                                                                                         3027-9004/8116-6760</t>
  </si>
  <si>
    <t xml:space="preserve">PARAFUSO(0,88) E BUCHA(0,16) </t>
  </si>
  <si>
    <t>MOINHO MATERIAIS PARA CONSTRUÇÃO</t>
  </si>
  <si>
    <t>NATANAEL                                                                                        9.9293-9860</t>
  </si>
  <si>
    <t>07,790.953/0002-20</t>
  </si>
  <si>
    <t>BEIRA RIO - FERNANDO CORREA</t>
  </si>
  <si>
    <t>01.426.365/0001-45</t>
  </si>
  <si>
    <t>YAKAO.COM.BR</t>
  </si>
  <si>
    <t>YAKAO - CUIABÁ/MT</t>
  </si>
  <si>
    <t>Rodrigo Paiva                                                                   3634-6949</t>
  </si>
  <si>
    <t>GUIA  DE CABOS HORIZONTAL PARA RACK  1U 19"</t>
  </si>
  <si>
    <t>GUIA DE CABOS HORIZONTAL PARA RACK  1U 19"</t>
  </si>
  <si>
    <t>SWITCH (10/100)BaseTX + (1000)Base T (24 + 2) portas</t>
  </si>
  <si>
    <t>upperseg.com.br</t>
  </si>
  <si>
    <t>02.465.944/0001-60</t>
  </si>
  <si>
    <t>netcomputadores.com.br  (19)3481-2667</t>
  </si>
  <si>
    <t>NET COMPUTADORES - CASA DA TI</t>
  </si>
  <si>
    <t>Composição de referência para os coeficientes de consumo:067127/SBC - 04/2018</t>
  </si>
  <si>
    <t>ELETROTÉCNICO COM ENCARGOS COMPLEMENTARES</t>
  </si>
  <si>
    <t>31,95+13,70+66,73+4,46</t>
  </si>
  <si>
    <t xml:space="preserve">CALÇADA INTERNA EM CONCRETO MOLDADO IN LOCO </t>
  </si>
  <si>
    <t>MURO EM BLOCO DE CONCRETO</t>
  </si>
  <si>
    <t>73,76+38,45</t>
  </si>
  <si>
    <t>1362,34 (Cotação)- 55(FRETE)=1307,34</t>
  </si>
  <si>
    <t>16.868.802/0001-58</t>
  </si>
  <si>
    <t>46*100+4*200=5400</t>
  </si>
  <si>
    <t>Katrine                                                                                                  9.9977-0781</t>
  </si>
  <si>
    <t>DANIEL                                                                                                                              3055-0702</t>
  </si>
  <si>
    <t>00.241.702/0001-67</t>
  </si>
  <si>
    <t>00.241.702/67</t>
  </si>
  <si>
    <t>LUCAS                                                                                                                                             3686-0023</t>
  </si>
  <si>
    <t>11.162.692/0001-90</t>
  </si>
  <si>
    <t>pontodigitalinfo.com.br</t>
  </si>
  <si>
    <t>PARPULOV Eletroeletrônicos Ltda ME</t>
  </si>
  <si>
    <t>57.644.825/0001-66</t>
  </si>
  <si>
    <t>22,90+27,46(FRETE)= 50,36</t>
  </si>
  <si>
    <t>PONTO DIGITAL Informática</t>
  </si>
  <si>
    <t>39+50,49(FRETE)=89,49</t>
  </si>
  <si>
    <t>LIMPEZA DE PORCELANATO COM PANO ÚMIDO</t>
  </si>
  <si>
    <t>LIMPEZA DE REVESTIMENTO CERÂMICO EM PAREDE COM PANO ÚMIDO</t>
  </si>
  <si>
    <t>COMP ELE 33</t>
  </si>
  <si>
    <t>CONDULETE PVC ENCAIXE TIPO C 3/4"</t>
  </si>
  <si>
    <t>COMP ELE 34</t>
  </si>
  <si>
    <t>CONDULETE PVC ENCAIXE TIPO LL 3/4"</t>
  </si>
  <si>
    <t>COMP ELE 35</t>
  </si>
  <si>
    <t>CONDULETE PVC ENCAIXE TIPO LR 3/4"</t>
  </si>
  <si>
    <t>COMP ELE 36</t>
  </si>
  <si>
    <t>CONDULETE PVC ENCAIXE TIPO LR  1"</t>
  </si>
  <si>
    <t>COMP ELE 37</t>
  </si>
  <si>
    <t>CONDULETE PVC ENCAIXE TIPO T  1"</t>
  </si>
  <si>
    <t>CONDULETE EM PVC, TIPO "C", SEM TAMPA, DE 3/4"</t>
  </si>
  <si>
    <t>BUCHA DE NYLON SEM ABA S6, COM PARAFUSO DE 4,20 X 40 MM EM ACO ZINCADO COM ROSCA SOBERBA, CABECA CHATA E FENDA PHILLIPS</t>
  </si>
  <si>
    <t>CONDULETE EM PVC, TIPO "LR", SEM TAMPA, DE 3/4"</t>
  </si>
  <si>
    <t>CONDULETE EM PVC, TIPO "LR", SEM TAMPA, DE 1"</t>
  </si>
  <si>
    <t>CONDULETE EM PVC, TIPO "T", SEM TAMPA, DE 1"</t>
  </si>
  <si>
    <t>DISJUNTOR TERMOMAGNETICO TRIPOLAR 100 A, 40 KA - FORNECIMENTO E INSTALACAO</t>
  </si>
  <si>
    <t>SANTIL - Materiais Elétricos</t>
  </si>
  <si>
    <t>15,80+22,63(FRETE)=38,43</t>
  </si>
  <si>
    <t>LOJA ELÉTRICA LTDA</t>
  </si>
  <si>
    <t>CONECTOR 110 IDC - 4 PARES</t>
  </si>
  <si>
    <t>0,00105/Kg * 10Km =  0,0105 KgxKm</t>
  </si>
  <si>
    <t>0,00002Kg * 10Km = 0,0002 Kg xKm</t>
  </si>
  <si>
    <t>PORTA EM MADEIRA LISA COMUM, ENCABEÇADA DE CORRER COM TRILHO DE ALUMÍNIO - 0,80 X 2,10 M</t>
  </si>
  <si>
    <t xml:space="preserve">BEIRAL </t>
  </si>
  <si>
    <t>ITEM 13.9 - QTITQTIVO ARQ</t>
  </si>
  <si>
    <t>17.155.342/0010-74</t>
  </si>
  <si>
    <t>www.lojaeletrica.com.br</t>
  </si>
  <si>
    <t>49.474.398/0008-63</t>
  </si>
  <si>
    <t>www.santil.com.br</t>
  </si>
  <si>
    <t>DADOS DA REDE</t>
  </si>
  <si>
    <t>dadosdarede.com</t>
  </si>
  <si>
    <t>187,39 e 14,30 (FRETE)</t>
  </si>
  <si>
    <t>13,91 E 19,33 (FRETE)</t>
  </si>
  <si>
    <t>24.454.490/0001-64</t>
  </si>
  <si>
    <t>COM 3 METROS</t>
  </si>
  <si>
    <t>Vlr Unit C/ BDI</t>
  </si>
  <si>
    <t>DIANE                                                                                          99307-4180</t>
  </si>
  <si>
    <t>RUA 24 A - JARDIM TANGARA II</t>
  </si>
  <si>
    <t>31,95+13,70+66,73</t>
  </si>
  <si>
    <t>Calçadas do Interior do Terreno</t>
  </si>
  <si>
    <t>Calçadas Rua 24 A e Rua 09</t>
  </si>
  <si>
    <t>CONCRETAGEM DE RADIER, PISO DE CONCRETO OU LAJE SOBRE SOLO, FK 30MPA - LANÇAMENTO, ADENSAMENTO E ACABAMENTO. AF_09/2021</t>
  </si>
  <si>
    <t xml:space="preserve">ALVENARIA DE VEDAÇÃO DE BLOCOS CERÃMICOS FURADOS NA HORIZONTAL DE 9X14X19CM (ESPESSURA 9CM) E ARGAMASSA DE ASSENTAMENTO COM PREPARO EM BETONEIRA </t>
  </si>
  <si>
    <t>ALVENARIA DE VEDAÇÃO DE BLOCOS VAZADOS DE CONCRETO DE 14X19X39CM (ESPESSURA 14CM), ASSENTAMENTO COM PREPARO EM BETONEIRA</t>
  </si>
  <si>
    <t>EXECUCAO DE DRENO FRANCES COM CASCALHO AF_05/2021</t>
  </si>
  <si>
    <t>25/052022</t>
  </si>
  <si>
    <t xml:space="preserve"> FONTE: SINAPI ABRIL/2022(SEM DESONERAÇÃO)</t>
  </si>
  <si>
    <t>um milhão, quatrocentos e noventa mil, setecentos e sessenta e seis reais e oito centavos</t>
  </si>
  <si>
    <t xml:space="preserve">                               </t>
  </si>
  <si>
    <t>Simone da Silva Ribeiro                                                                                                                                                                                                                                                                                                                                  Engenheira Civil                                                                                                                                                                                                     CREA:1216372764</t>
  </si>
  <si>
    <t xml:space="preserve">Simone da Silva Ribeiro                                                                                                                                                                                                                                                                                                                                                                                                                                                         Engenheira Civil                                                                                                                                                                                                   CREA: 1216372764                     </t>
  </si>
  <si>
    <t xml:space="preserve">Simone da Silva Ribeiro                                                                                                          Engenheira Civil                                                                                    CREA: 1216372764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</si>
</sst>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quot;R$&quot;\ #,##0.00"/>
    <numFmt numFmtId="176" formatCode="0.000"/>
    <numFmt numFmtId="177" formatCode="#,##0.000000;[Red]#,##0.000000"/>
    <numFmt numFmtId="178" formatCode="#,##0.00000"/>
    <numFmt numFmtId="179" formatCode="#,##0.00000;[Red]#,##0.00000"/>
    <numFmt numFmtId="180" formatCode="0.00000"/>
    <numFmt numFmtId="181" formatCode="0.00&quot;m&quot;"/>
    <numFmt numFmtId="182" formatCode="#,##0.0000000;[Red]#,##0.0000000"/>
  </numFmts>
  <fonts count="111">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b/>
      <sz val="16"/>
      <color theme="1"/>
      <name val="Calibri"/>
      <family val="2"/>
      <scheme val="minor"/>
    </font>
    <font>
      <sz val="20"/>
      <color theme="1"/>
      <name val="Calibri"/>
      <family val="2"/>
      <scheme val="minor"/>
    </font>
    <font>
      <b/>
      <sz val="13"/>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9"/>
      <color theme="1"/>
      <name val="Calibri"/>
      <family val="2"/>
    </font>
    <font>
      <sz val="11"/>
      <color theme="1"/>
      <name val="Calibri"/>
      <family val="2"/>
    </font>
    <font>
      <b/>
      <sz val="11"/>
      <name val="Calibri"/>
      <family val="2"/>
      <scheme val="minor"/>
    </font>
    <font>
      <sz val="11"/>
      <color indexed="10"/>
      <name val="Arial"/>
      <family val="2"/>
    </font>
    <font>
      <sz val="9"/>
      <color indexed="8"/>
      <name val="Calibri"/>
      <family val="2"/>
      <scheme val="minor"/>
    </font>
    <font>
      <sz val="9"/>
      <color indexed="10"/>
      <name val="Arial"/>
      <family val="2"/>
    </font>
    <font>
      <b/>
      <sz val="9"/>
      <color indexed="10"/>
      <name val="Arial"/>
      <family val="2"/>
    </font>
    <font>
      <sz val="11"/>
      <color rgb="FFFF0000"/>
      <name val="Calibri"/>
      <family val="2"/>
    </font>
    <font>
      <b/>
      <sz val="11"/>
      <color indexed="10"/>
      <name val="Arial"/>
      <family val="2"/>
    </font>
    <font>
      <b/>
      <sz val="9"/>
      <color indexed="10"/>
      <name val="Calibri"/>
      <family val="2"/>
    </font>
    <font>
      <b/>
      <sz val="10"/>
      <color indexed="10"/>
      <name val="Arial"/>
      <family val="2"/>
    </font>
    <font>
      <b/>
      <sz val="9"/>
      <color indexed="22"/>
      <name val="Arial"/>
      <family val="2"/>
    </font>
    <font>
      <sz val="11"/>
      <name val="Calibri"/>
      <family val="2"/>
    </font>
    <font>
      <b/>
      <sz val="10"/>
      <color indexed="8"/>
      <name val="Arial"/>
      <family val="2"/>
    </font>
    <font>
      <b/>
      <sz val="9"/>
      <color theme="1"/>
      <name val="Arial"/>
      <family val="2"/>
    </font>
    <font>
      <sz val="9"/>
      <color rgb="FF000000"/>
      <name val="Arial"/>
      <family val="2"/>
    </font>
    <font>
      <b/>
      <sz val="12"/>
      <color theme="6" tint="-0.249977111117893"/>
      <name val="Arial"/>
      <family val="2"/>
    </font>
    <font>
      <u/>
      <sz val="11"/>
      <color theme="10"/>
      <name val="Calibri"/>
      <family val="2"/>
      <scheme val="minor"/>
    </font>
    <font>
      <sz val="12"/>
      <color rgb="FF222222"/>
      <name val="Arial"/>
      <family val="2"/>
    </font>
    <font>
      <sz val="9"/>
      <color rgb="FFFF0000"/>
      <name val="Arial"/>
      <family val="2"/>
    </font>
  </fonts>
  <fills count="44">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theme="3" tint="0.79998168889431442"/>
        <bgColor indexed="64"/>
      </patternFill>
    </fill>
  </fills>
  <borders count="13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D9D9D9"/>
      </bottom>
      <diagonal/>
    </border>
    <border>
      <left/>
      <right style="medium">
        <color indexed="64"/>
      </right>
      <top style="medium">
        <color rgb="FF000000"/>
      </top>
      <bottom style="medium">
        <color rgb="FFD9D9D9"/>
      </bottom>
      <diagonal/>
    </border>
    <border>
      <left style="medium">
        <color indexed="64"/>
      </left>
      <right style="medium">
        <color rgb="FFD9D9D9"/>
      </right>
      <top/>
      <bottom style="medium">
        <color rgb="FFD9D9D9"/>
      </bottom>
      <diagonal/>
    </border>
    <border>
      <left/>
      <right style="medium">
        <color indexed="64"/>
      </right>
      <top/>
      <bottom style="medium">
        <color rgb="FFD9D9D9"/>
      </bottom>
      <diagonal/>
    </border>
    <border>
      <left style="medium">
        <color indexed="64"/>
      </left>
      <right/>
      <top/>
      <bottom style="medium">
        <color rgb="FFD9D9D9"/>
      </bottom>
      <diagonal/>
    </border>
    <border>
      <left style="medium">
        <color indexed="64"/>
      </left>
      <right/>
      <top style="medium">
        <color rgb="FFD9D9D9"/>
      </top>
      <bottom style="medium">
        <color rgb="FFD9D9D9"/>
      </bottom>
      <diagonal/>
    </border>
    <border>
      <left/>
      <right style="medium">
        <color indexed="64"/>
      </right>
      <top style="medium">
        <color rgb="FFD9D9D9"/>
      </top>
      <bottom style="medium">
        <color rgb="FFD9D9D9"/>
      </bottom>
      <diagonal/>
    </border>
    <border>
      <left style="medium">
        <color indexed="64"/>
      </left>
      <right style="medium">
        <color rgb="FFD9D9D9"/>
      </right>
      <top/>
      <bottom style="medium">
        <color indexed="64"/>
      </bottom>
      <diagonal/>
    </border>
    <border>
      <left style="medium">
        <color indexed="64"/>
      </left>
      <right/>
      <top style="medium">
        <color indexed="64"/>
      </top>
      <bottom style="medium">
        <color rgb="FFD9D9D9"/>
      </bottom>
      <diagonal/>
    </border>
    <border>
      <left/>
      <right style="medium">
        <color indexed="64"/>
      </right>
      <top style="medium">
        <color indexed="64"/>
      </top>
      <bottom style="medium">
        <color rgb="FFD9D9D9"/>
      </bottom>
      <diagonal/>
    </border>
    <border>
      <left style="medium">
        <color indexed="64"/>
      </left>
      <right/>
      <top style="medium">
        <color rgb="FFD9D9D9"/>
      </top>
      <bottom style="medium">
        <color indexed="64"/>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5" applyNumberFormat="0" applyAlignment="0" applyProtection="0"/>
    <xf numFmtId="0" fontId="53" fillId="28" borderId="65" applyNumberFormat="0" applyAlignment="0" applyProtection="0"/>
    <xf numFmtId="0" fontId="40" fillId="29" borderId="66" applyNumberFormat="0" applyAlignment="0" applyProtection="0"/>
    <xf numFmtId="0" fontId="46" fillId="18" borderId="65"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7" applyNumberFormat="0" applyFill="0" applyAlignment="0" applyProtection="0"/>
    <xf numFmtId="0" fontId="44" fillId="0" borderId="68" applyNumberFormat="0" applyFill="0" applyAlignment="0" applyProtection="0"/>
    <xf numFmtId="0" fontId="45" fillId="0" borderId="69"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5" applyNumberFormat="0" applyAlignment="0" applyProtection="0"/>
    <xf numFmtId="0" fontId="47" fillId="0" borderId="70" applyNumberFormat="0" applyFill="0" applyAlignment="0" applyProtection="0"/>
    <xf numFmtId="0" fontId="48" fillId="18" borderId="0" applyNumberFormat="0" applyBorder="0" applyAlignment="0" applyProtection="0"/>
    <xf numFmtId="0" fontId="10" fillId="15" borderId="71" applyNumberFormat="0" applyFont="0" applyAlignment="0" applyProtection="0"/>
    <xf numFmtId="0" fontId="33" fillId="15" borderId="71" applyNumberFormat="0" applyFont="0" applyAlignment="0" applyProtection="0"/>
    <xf numFmtId="0" fontId="49" fillId="27" borderId="72" applyNumberFormat="0" applyAlignment="0" applyProtection="0"/>
    <xf numFmtId="0" fontId="49" fillId="28" borderId="72"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3" applyNumberFormat="0" applyFill="0" applyAlignment="0" applyProtection="0"/>
    <xf numFmtId="0" fontId="52" fillId="0" borderId="0" applyNumberFormat="0" applyFill="0" applyBorder="0" applyAlignment="0" applyProtection="0"/>
    <xf numFmtId="0" fontId="33" fillId="0" borderId="0"/>
    <xf numFmtId="0" fontId="108" fillId="0" borderId="0" applyNumberFormat="0" applyFill="0" applyBorder="0" applyAlignment="0" applyProtection="0"/>
  </cellStyleXfs>
  <cellXfs count="2591">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6"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8" xfId="0" applyNumberFormat="1" applyFont="1" applyBorder="1" applyAlignment="1">
      <alignment horizontal="right" vertical="center"/>
    </xf>
    <xf numFmtId="4" fontId="7" fillId="0" borderId="15" xfId="2" applyNumberFormat="1" applyFont="1" applyFill="1" applyBorder="1" applyAlignment="1">
      <alignment horizontal="center" vertical="center" wrapText="1"/>
    </xf>
    <xf numFmtId="39" fontId="7" fillId="4" borderId="7"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6" xfId="0" applyFont="1" applyBorder="1" applyAlignment="1">
      <alignment horizontal="center" vertical="center"/>
    </xf>
    <xf numFmtId="43" fontId="9" fillId="0" borderId="14" xfId="1" applyFont="1" applyFill="1" applyBorder="1" applyAlignment="1">
      <alignment vertical="center"/>
    </xf>
    <xf numFmtId="0" fontId="9" fillId="0" borderId="14" xfId="0" applyFont="1" applyFill="1" applyBorder="1" applyAlignment="1">
      <alignment horizontal="center" vertical="center"/>
    </xf>
    <xf numFmtId="43" fontId="9" fillId="0" borderId="14" xfId="1" applyFont="1" applyFill="1" applyBorder="1" applyAlignment="1">
      <alignment horizontal="center" vertical="center"/>
    </xf>
    <xf numFmtId="10" fontId="9" fillId="0" borderId="14" xfId="0" applyNumberFormat="1" applyFont="1" applyFill="1" applyBorder="1" applyAlignment="1">
      <alignment horizontal="center" vertical="center"/>
    </xf>
    <xf numFmtId="2" fontId="9" fillId="0" borderId="19"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9" fillId="0" borderId="8" xfId="0" applyFont="1" applyFill="1" applyBorder="1" applyAlignment="1">
      <alignment horizontal="justify" vertical="center" wrapText="1"/>
    </xf>
    <xf numFmtId="0" fontId="9" fillId="0" borderId="21" xfId="0" applyFont="1" applyFill="1" applyBorder="1" applyAlignment="1">
      <alignment horizontal="center" vertical="center"/>
    </xf>
    <xf numFmtId="0" fontId="7" fillId="4" borderId="22" xfId="0" applyFont="1" applyFill="1" applyBorder="1" applyAlignment="1">
      <alignment horizontal="right" vertical="center"/>
    </xf>
    <xf numFmtId="10" fontId="7" fillId="0" borderId="22" xfId="0" applyNumberFormat="1" applyFont="1" applyBorder="1" applyAlignment="1">
      <alignment horizontal="center" vertical="center"/>
    </xf>
    <xf numFmtId="0" fontId="9" fillId="0" borderId="23" xfId="0" applyFont="1" applyFill="1" applyBorder="1" applyAlignment="1">
      <alignment horizontal="center" vertical="center"/>
    </xf>
    <xf numFmtId="0" fontId="7" fillId="4" borderId="14" xfId="0" applyFont="1" applyFill="1" applyBorder="1" applyAlignment="1">
      <alignment horizontal="right" vertical="center"/>
    </xf>
    <xf numFmtId="165" fontId="9" fillId="0" borderId="14" xfId="0" applyNumberFormat="1" applyFont="1" applyFill="1" applyBorder="1" applyAlignment="1">
      <alignment vertical="center"/>
    </xf>
    <xf numFmtId="4" fontId="9" fillId="0" borderId="14" xfId="2" applyNumberFormat="1" applyFont="1" applyFill="1" applyBorder="1" applyAlignment="1">
      <alignment horizontal="center" vertical="center"/>
    </xf>
    <xf numFmtId="10" fontId="7" fillId="0" borderId="14"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9" fillId="0" borderId="8" xfId="2" applyNumberFormat="1" applyFont="1" applyFill="1" applyBorder="1" applyAlignment="1" applyProtection="1">
      <alignment horizontal="center" vertical="center"/>
      <protection locked="0"/>
    </xf>
    <xf numFmtId="4" fontId="7" fillId="0" borderId="22" xfId="2"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9" fillId="0" borderId="8" xfId="0" applyNumberFormat="1" applyFont="1" applyBorder="1" applyAlignment="1">
      <alignment horizontal="center" vertical="center"/>
    </xf>
    <xf numFmtId="0" fontId="15" fillId="0" borderId="6" xfId="0" applyFont="1" applyBorder="1" applyAlignment="1">
      <alignment horizontal="center" vertical="center" wrapText="1"/>
    </xf>
    <xf numFmtId="0" fontId="7" fillId="0" borderId="0" xfId="0" applyFont="1" applyBorder="1" applyAlignment="1">
      <alignment horizontal="center" vertical="center" wrapText="1"/>
    </xf>
    <xf numFmtId="0" fontId="18" fillId="0" borderId="12" xfId="0" applyFont="1" applyBorder="1" applyAlignment="1">
      <alignment vertical="center" wrapText="1"/>
    </xf>
    <xf numFmtId="0" fontId="9" fillId="0" borderId="44" xfId="0" applyFont="1" applyBorder="1" applyAlignment="1">
      <alignment vertical="center"/>
    </xf>
    <xf numFmtId="0" fontId="14" fillId="0" borderId="34" xfId="0" applyFont="1" applyBorder="1" applyAlignment="1">
      <alignment horizontal="center" vertical="center"/>
    </xf>
    <xf numFmtId="0" fontId="9" fillId="0" borderId="30" xfId="0" applyFont="1" applyBorder="1" applyAlignment="1">
      <alignment vertical="center"/>
    </xf>
    <xf numFmtId="10" fontId="7" fillId="0" borderId="13" xfId="1" applyNumberFormat="1" applyFont="1" applyBorder="1" applyAlignment="1">
      <alignment vertical="center" wrapText="1"/>
    </xf>
    <xf numFmtId="169" fontId="7" fillId="0" borderId="13" xfId="1" applyNumberFormat="1" applyFont="1" applyBorder="1" applyAlignment="1">
      <alignment vertical="center" wrapText="1"/>
    </xf>
    <xf numFmtId="2" fontId="9" fillId="0" borderId="46" xfId="0" applyNumberFormat="1" applyFont="1" applyBorder="1" applyAlignment="1">
      <alignment horizontal="right" vertical="center" wrapText="1"/>
    </xf>
    <xf numFmtId="0" fontId="9" fillId="0" borderId="46" xfId="0" applyFont="1" applyBorder="1" applyAlignment="1">
      <alignment horizontal="center" vertical="center" wrapText="1"/>
    </xf>
    <xf numFmtId="4" fontId="7" fillId="0" borderId="46" xfId="1" applyNumberFormat="1" applyFont="1" applyBorder="1" applyAlignment="1">
      <alignment horizontal="right" vertical="center" wrapText="1"/>
    </xf>
    <xf numFmtId="0" fontId="2" fillId="0" borderId="34" xfId="0" applyFont="1" applyBorder="1" applyAlignment="1">
      <alignment horizontal="center" vertical="center"/>
    </xf>
    <xf numFmtId="0" fontId="17" fillId="0" borderId="0" xfId="0" applyFont="1" applyBorder="1" applyAlignment="1">
      <alignment horizontal="left" vertical="center"/>
    </xf>
    <xf numFmtId="0" fontId="0" fillId="0" borderId="0" xfId="0" applyBorder="1"/>
    <xf numFmtId="166" fontId="7" fillId="0" borderId="31" xfId="0" applyNumberFormat="1" applyFont="1" applyBorder="1" applyAlignment="1">
      <alignment horizontal="center" vertical="center" wrapText="1"/>
    </xf>
    <xf numFmtId="0" fontId="7" fillId="4" borderId="7" xfId="0" applyFont="1" applyFill="1" applyBorder="1" applyAlignment="1">
      <alignment horizontal="right" vertical="center"/>
    </xf>
    <xf numFmtId="4" fontId="9" fillId="0"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9" fillId="0" borderId="8"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41" xfId="0" applyNumberFormat="1" applyFont="1" applyBorder="1" applyAlignment="1">
      <alignment vertical="center"/>
    </xf>
    <xf numFmtId="0" fontId="9" fillId="0" borderId="8" xfId="0" applyFont="1" applyBorder="1" applyAlignment="1">
      <alignment horizontal="left" vertical="center"/>
    </xf>
    <xf numFmtId="2" fontId="9" fillId="0" borderId="8" xfId="1" applyNumberFormat="1" applyFont="1" applyFill="1" applyBorder="1" applyAlignment="1">
      <alignment horizontal="center" vertical="center"/>
    </xf>
    <xf numFmtId="0" fontId="16" fillId="0" borderId="34" xfId="0" applyFont="1" applyBorder="1" applyAlignment="1">
      <alignment vertical="center"/>
    </xf>
    <xf numFmtId="164" fontId="16" fillId="0" borderId="34" xfId="0" applyNumberFormat="1" applyFont="1" applyFill="1" applyBorder="1" applyAlignment="1">
      <alignment vertical="center"/>
    </xf>
    <xf numFmtId="0" fontId="16" fillId="0" borderId="28" xfId="0" applyFont="1" applyFill="1" applyBorder="1" applyAlignment="1">
      <alignment vertical="center"/>
    </xf>
    <xf numFmtId="0" fontId="16" fillId="0" borderId="0" xfId="0" applyFont="1" applyFill="1" applyBorder="1" applyAlignment="1">
      <alignment vertical="center"/>
    </xf>
    <xf numFmtId="0" fontId="16" fillId="0" borderId="13" xfId="0" applyFont="1" applyFill="1" applyBorder="1" applyAlignment="1">
      <alignment vertical="center"/>
    </xf>
    <xf numFmtId="0" fontId="16" fillId="0" borderId="46" xfId="0" applyFont="1" applyFill="1" applyBorder="1" applyAlignment="1">
      <alignment vertical="center"/>
    </xf>
    <xf numFmtId="0" fontId="16" fillId="0" borderId="47" xfId="0" applyFont="1" applyFill="1" applyBorder="1" applyAlignment="1">
      <alignment vertical="center"/>
    </xf>
    <xf numFmtId="0" fontId="0" fillId="0" borderId="0" xfId="0" applyFill="1" applyBorder="1"/>
    <xf numFmtId="0" fontId="16" fillId="0" borderId="3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48" xfId="0" applyFont="1" applyBorder="1" applyAlignment="1">
      <alignment vertical="center" wrapText="1"/>
    </xf>
    <xf numFmtId="0" fontId="16" fillId="0" borderId="46" xfId="0" applyFont="1" applyBorder="1" applyAlignment="1">
      <alignment vertical="center" wrapText="1"/>
    </xf>
    <xf numFmtId="0" fontId="6" fillId="0" borderId="46"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16" fillId="0" borderId="26" xfId="0" applyFont="1" applyBorder="1" applyAlignment="1">
      <alignment vertical="center"/>
    </xf>
    <xf numFmtId="0" fontId="9" fillId="0" borderId="34" xfId="0" applyFont="1" applyBorder="1" applyAlignment="1">
      <alignment horizontal="center" vertical="center" wrapText="1"/>
    </xf>
    <xf numFmtId="2" fontId="9" fillId="0" borderId="34" xfId="0" applyNumberFormat="1" applyFont="1" applyBorder="1" applyAlignment="1">
      <alignment vertical="center" wrapText="1"/>
    </xf>
    <xf numFmtId="0" fontId="9" fillId="0" borderId="34" xfId="0" applyFont="1" applyBorder="1" applyAlignment="1">
      <alignment vertical="center" wrapText="1"/>
    </xf>
    <xf numFmtId="0" fontId="18" fillId="4" borderId="24" xfId="0" applyFont="1" applyFill="1" applyBorder="1" applyAlignment="1">
      <alignment vertic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171" fontId="18" fillId="0" borderId="6"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167" fontId="18" fillId="0" borderId="16" xfId="0" applyNumberFormat="1" applyFont="1" applyBorder="1" applyAlignment="1">
      <alignment horizontal="center" vertical="center" wrapText="1"/>
    </xf>
    <xf numFmtId="0" fontId="11" fillId="0" borderId="24" xfId="0" applyFont="1" applyBorder="1" applyAlignment="1">
      <alignment horizontal="center" vertical="center" wrapText="1"/>
    </xf>
    <xf numFmtId="167" fontId="11" fillId="0" borderId="6" xfId="0" applyNumberFormat="1" applyFont="1" applyBorder="1" applyAlignment="1">
      <alignment horizontal="center" vertical="center"/>
    </xf>
    <xf numFmtId="167" fontId="11" fillId="0" borderId="16" xfId="0" applyNumberFormat="1" applyFont="1" applyBorder="1" applyAlignment="1">
      <alignment horizontal="center" vertical="center"/>
    </xf>
    <xf numFmtId="167" fontId="11" fillId="0" borderId="6" xfId="0" applyNumberFormat="1" applyFont="1" applyBorder="1" applyAlignment="1">
      <alignment vertical="center" wrapText="1"/>
    </xf>
    <xf numFmtId="167" fontId="11" fillId="0" borderId="6" xfId="0" applyNumberFormat="1" applyFont="1" applyBorder="1" applyAlignment="1">
      <alignment vertical="center"/>
    </xf>
    <xf numFmtId="167" fontId="18" fillId="0" borderId="16" xfId="0" applyNumberFormat="1" applyFont="1" applyBorder="1" applyAlignment="1">
      <alignment horizontal="center" vertical="center"/>
    </xf>
    <xf numFmtId="0" fontId="16" fillId="0" borderId="24" xfId="0" applyFont="1" applyBorder="1" applyAlignment="1">
      <alignment vertical="center"/>
    </xf>
    <xf numFmtId="0" fontId="22" fillId="0" borderId="6"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16" xfId="0" applyNumberFormat="1"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171" fontId="16" fillId="0" borderId="6" xfId="0" applyNumberFormat="1" applyFont="1" applyBorder="1" applyAlignment="1">
      <alignment horizontal="center" vertical="center" wrapText="1"/>
    </xf>
    <xf numFmtId="0" fontId="22" fillId="0" borderId="9" xfId="0" applyFont="1" applyBorder="1" applyAlignment="1">
      <alignment horizontal="justify" vertical="center" wrapText="1"/>
    </xf>
    <xf numFmtId="2" fontId="24"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1" fillId="2" borderId="18" xfId="3" applyFont="1" applyFill="1" applyBorder="1" applyAlignment="1">
      <alignment horizontal="center" vertical="center"/>
    </xf>
    <xf numFmtId="167" fontId="18" fillId="2" borderId="44" xfId="3" applyNumberFormat="1" applyFont="1" applyFill="1" applyBorder="1" applyAlignment="1">
      <alignment horizontal="center" vertical="center" wrapText="1"/>
    </xf>
    <xf numFmtId="14" fontId="21" fillId="0" borderId="28" xfId="0" applyNumberFormat="1" applyFont="1" applyBorder="1" applyAlignment="1">
      <alignment vertical="center" wrapText="1"/>
    </xf>
    <xf numFmtId="0" fontId="18" fillId="6" borderId="6" xfId="0" applyFont="1" applyFill="1" applyBorder="1" applyAlignment="1">
      <alignment horizontal="center" vertical="center" wrapText="1"/>
    </xf>
    <xf numFmtId="172" fontId="16" fillId="0" borderId="6" xfId="0" applyNumberFormat="1" applyFont="1" applyBorder="1" applyAlignment="1">
      <alignment horizontal="center" vertical="center" wrapText="1"/>
    </xf>
    <xf numFmtId="0" fontId="0" fillId="0" borderId="3" xfId="0" applyBorder="1" applyAlignment="1">
      <alignment vertical="center" wrapText="1"/>
    </xf>
    <xf numFmtId="0" fontId="0" fillId="0" borderId="47" xfId="0" applyBorder="1" applyAlignment="1">
      <alignment vertical="center" wrapText="1"/>
    </xf>
    <xf numFmtId="0" fontId="0" fillId="0" borderId="12" xfId="0"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6" fillId="0" borderId="13" xfId="0" applyFont="1" applyBorder="1" applyAlignment="1">
      <alignment vertical="center" wrapText="1"/>
    </xf>
    <xf numFmtId="0" fontId="13" fillId="0" borderId="0" xfId="0" applyFont="1" applyFill="1" applyBorder="1" applyAlignment="1">
      <alignment vertical="center"/>
    </xf>
    <xf numFmtId="0" fontId="12" fillId="0" borderId="34"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2" xfId="0" applyFont="1" applyBorder="1" applyAlignment="1">
      <alignment vertical="center" wrapText="1"/>
    </xf>
    <xf numFmtId="0" fontId="7" fillId="0" borderId="48" xfId="0" applyFont="1" applyBorder="1" applyAlignment="1">
      <alignment vertical="center" wrapText="1"/>
    </xf>
    <xf numFmtId="0" fontId="7" fillId="0" borderId="12" xfId="0" applyFont="1" applyFill="1" applyBorder="1" applyAlignment="1">
      <alignment vertical="center" wrapText="1"/>
    </xf>
    <xf numFmtId="0" fontId="7" fillId="0" borderId="29" xfId="0" applyFont="1" applyFill="1" applyBorder="1" applyAlignment="1">
      <alignment vertical="center"/>
    </xf>
    <xf numFmtId="0" fontId="9" fillId="0" borderId="3" xfId="0" applyFont="1" applyFill="1" applyBorder="1" applyAlignment="1">
      <alignment vertical="center" wrapText="1"/>
    </xf>
    <xf numFmtId="2" fontId="7" fillId="0" borderId="14" xfId="0" applyNumberFormat="1" applyFont="1" applyBorder="1" applyAlignment="1">
      <alignment horizontal="center" vertical="center"/>
    </xf>
    <xf numFmtId="0" fontId="11" fillId="0" borderId="14"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5" xfId="0" applyNumberFormat="1" applyFont="1" applyBorder="1" applyAlignment="1">
      <alignment vertical="center"/>
    </xf>
    <xf numFmtId="0" fontId="0" fillId="0" borderId="12" xfId="0" applyBorder="1"/>
    <xf numFmtId="0" fontId="0" fillId="0" borderId="13" xfId="0" applyBorder="1"/>
    <xf numFmtId="0" fontId="0" fillId="0" borderId="36" xfId="0" applyBorder="1"/>
    <xf numFmtId="0" fontId="0" fillId="0" borderId="46" xfId="0" applyBorder="1"/>
    <xf numFmtId="0" fontId="0" fillId="0" borderId="47" xfId="0" applyBorder="1"/>
    <xf numFmtId="0" fontId="0" fillId="0" borderId="26" xfId="0" applyBorder="1"/>
    <xf numFmtId="0" fontId="0" fillId="0" borderId="34" xfId="0" applyBorder="1"/>
    <xf numFmtId="0" fontId="0" fillId="0" borderId="28" xfId="0" applyBorder="1"/>
    <xf numFmtId="172" fontId="11" fillId="0" borderId="6" xfId="0" applyNumberFormat="1" applyFont="1" applyBorder="1" applyAlignment="1">
      <alignment horizontal="center" vertical="center"/>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4" fontId="18" fillId="6" borderId="9" xfId="0" applyNumberFormat="1" applyFont="1" applyFill="1" applyBorder="1" applyAlignment="1">
      <alignment horizontal="right" vertical="center"/>
    </xf>
    <xf numFmtId="167" fontId="22" fillId="0" borderId="3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4" fillId="0" borderId="23" xfId="0" applyFont="1" applyBorder="1"/>
    <xf numFmtId="2" fontId="25" fillId="0" borderId="14" xfId="0" applyNumberFormat="1" applyFont="1" applyBorder="1" applyAlignment="1">
      <alignment horizontal="center" vertical="center"/>
    </xf>
    <xf numFmtId="0" fontId="24" fillId="0" borderId="19" xfId="0" applyFont="1" applyBorder="1"/>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4" fontId="7" fillId="2" borderId="49" xfId="0" applyNumberFormat="1" applyFont="1" applyFill="1" applyBorder="1" applyAlignment="1">
      <alignment horizontal="center" vertical="center" wrapText="1"/>
    </xf>
    <xf numFmtId="166" fontId="18" fillId="0" borderId="31" xfId="0" applyNumberFormat="1" applyFont="1" applyBorder="1" applyAlignment="1">
      <alignment horizontal="center" vertical="center"/>
    </xf>
    <xf numFmtId="0" fontId="11" fillId="0" borderId="24" xfId="0" applyFont="1" applyBorder="1" applyAlignment="1">
      <alignment horizontal="center" vertical="center"/>
    </xf>
    <xf numFmtId="0" fontId="18" fillId="2" borderId="45" xfId="0" applyFont="1" applyFill="1" applyBorder="1" applyAlignment="1">
      <alignment horizontal="center" vertical="center"/>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49" xfId="3" applyNumberFormat="1" applyFont="1" applyFill="1" applyBorder="1" applyAlignment="1">
      <alignment vertical="center"/>
    </xf>
    <xf numFmtId="0" fontId="18" fillId="0" borderId="32" xfId="0" applyFont="1" applyBorder="1" applyAlignment="1">
      <alignment vertical="center" wrapText="1"/>
    </xf>
    <xf numFmtId="0" fontId="11" fillId="0" borderId="9" xfId="0" applyFont="1" applyBorder="1" applyAlignment="1">
      <alignment vertical="center" wrapText="1"/>
    </xf>
    <xf numFmtId="167" fontId="11" fillId="0" borderId="9" xfId="0" applyNumberFormat="1" applyFont="1" applyBorder="1" applyAlignment="1">
      <alignment vertical="center" wrapText="1"/>
    </xf>
    <xf numFmtId="167" fontId="11" fillId="0" borderId="9" xfId="0" applyNumberFormat="1" applyFont="1" applyBorder="1" applyAlignment="1">
      <alignment vertical="center"/>
    </xf>
    <xf numFmtId="0" fontId="25" fillId="0" borderId="24" xfId="0" applyFont="1" applyBorder="1" applyAlignment="1">
      <alignment horizontal="center" vertical="center" wrapText="1"/>
    </xf>
    <xf numFmtId="0" fontId="25" fillId="0" borderId="16" xfId="0" applyFont="1" applyBorder="1" applyAlignment="1">
      <alignment horizontal="center" vertical="center" wrapText="1"/>
    </xf>
    <xf numFmtId="167" fontId="11" fillId="0" borderId="9" xfId="0" applyNumberFormat="1" applyFont="1" applyBorder="1" applyAlignment="1">
      <alignment horizontal="center" vertical="center"/>
    </xf>
    <xf numFmtId="0" fontId="11" fillId="0" borderId="62" xfId="0" applyFont="1" applyBorder="1" applyAlignment="1">
      <alignment horizontal="center" vertical="center"/>
    </xf>
    <xf numFmtId="0" fontId="31" fillId="0" borderId="6" xfId="0" applyNumberFormat="1" applyFont="1" applyBorder="1" applyAlignment="1">
      <alignment horizontal="center" vertical="center"/>
    </xf>
    <xf numFmtId="0" fontId="11" fillId="0" borderId="32" xfId="0" quotePrefix="1" applyFont="1" applyBorder="1" applyAlignment="1">
      <alignment horizontal="center" vertical="center"/>
    </xf>
    <xf numFmtId="0" fontId="11" fillId="0" borderId="6" xfId="0" quotePrefix="1" applyFont="1" applyFill="1" applyBorder="1" applyAlignment="1">
      <alignment horizontal="center" vertical="center" wrapText="1"/>
    </xf>
    <xf numFmtId="4" fontId="11" fillId="0" borderId="6" xfId="0" applyNumberFormat="1" applyFont="1" applyFill="1" applyBorder="1" applyAlignment="1">
      <alignment horizontal="center" vertical="center" wrapText="1"/>
    </xf>
    <xf numFmtId="4" fontId="11" fillId="0" borderId="6" xfId="0" applyNumberFormat="1" applyFont="1" applyBorder="1" applyAlignment="1">
      <alignment horizontal="center" vertical="center"/>
    </xf>
    <xf numFmtId="4" fontId="11" fillId="0" borderId="16" xfId="0" applyNumberFormat="1" applyFont="1" applyBorder="1" applyAlignment="1">
      <alignment horizontal="right" vertical="center"/>
    </xf>
    <xf numFmtId="0" fontId="11" fillId="0" borderId="23" xfId="0" quotePrefix="1" applyFont="1" applyBorder="1" applyAlignment="1">
      <alignment horizontal="center" vertical="center"/>
    </xf>
    <xf numFmtId="0" fontId="11" fillId="0" borderId="42"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14" xfId="0" quotePrefix="1" applyFont="1" applyBorder="1" applyAlignment="1">
      <alignment horizontal="center" vertical="center"/>
    </xf>
    <xf numFmtId="4" fontId="11" fillId="0" borderId="14" xfId="0" applyNumberFormat="1" applyFont="1" applyBorder="1" applyAlignment="1">
      <alignment vertical="center"/>
    </xf>
    <xf numFmtId="10" fontId="18" fillId="0" borderId="14" xfId="0" applyNumberFormat="1" applyFont="1" applyBorder="1" applyAlignment="1">
      <alignment horizontal="center" vertical="center"/>
    </xf>
    <xf numFmtId="4" fontId="18" fillId="0" borderId="19" xfId="0" applyNumberFormat="1" applyFont="1" applyBorder="1" applyAlignment="1">
      <alignment horizontal="right" vertical="center"/>
    </xf>
    <xf numFmtId="0" fontId="11" fillId="0" borderId="61" xfId="0" quotePrefix="1" applyFont="1" applyBorder="1" applyAlignment="1">
      <alignment horizontal="center" vertical="center"/>
    </xf>
    <xf numFmtId="0" fontId="11" fillId="0" borderId="61" xfId="0" applyFont="1" applyBorder="1" applyAlignment="1">
      <alignment horizontal="center" vertical="center"/>
    </xf>
    <xf numFmtId="4" fontId="11" fillId="0" borderId="61" xfId="0" applyNumberFormat="1" applyFont="1" applyBorder="1" applyAlignment="1">
      <alignment vertical="center"/>
    </xf>
    <xf numFmtId="0" fontId="31" fillId="0" borderId="8"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22" fillId="0" borderId="3" xfId="0" applyFont="1" applyBorder="1" applyAlignment="1">
      <alignment horizontal="justify" vertical="center" wrapText="1"/>
    </xf>
    <xf numFmtId="0" fontId="10" fillId="0" borderId="3" xfId="0" applyFont="1" applyBorder="1" applyAlignment="1">
      <alignment horizontal="justify" vertical="center" wrapText="1"/>
    </xf>
    <xf numFmtId="0" fontId="16" fillId="0" borderId="3" xfId="0" applyFont="1" applyBorder="1" applyAlignment="1">
      <alignment horizontal="justify" vertical="center" wrapText="1"/>
    </xf>
    <xf numFmtId="0" fontId="16" fillId="0" borderId="32" xfId="0" applyFont="1" applyBorder="1" applyAlignment="1">
      <alignment vertical="center"/>
    </xf>
    <xf numFmtId="167" fontId="22" fillId="0" borderId="30" xfId="0" applyNumberFormat="1" applyFont="1" applyBorder="1" applyAlignment="1">
      <alignment horizontal="center" vertical="center" wrapText="1"/>
    </xf>
    <xf numFmtId="167" fontId="16" fillId="0" borderId="30" xfId="0" applyNumberFormat="1" applyFont="1" applyBorder="1" applyAlignment="1">
      <alignment horizontal="center" vertical="center" wrapText="1"/>
    </xf>
    <xf numFmtId="0" fontId="11" fillId="0" borderId="32" xfId="0" applyFont="1" applyBorder="1" applyAlignment="1">
      <alignment horizontal="center" vertical="center"/>
    </xf>
    <xf numFmtId="0" fontId="16" fillId="0" borderId="32" xfId="0" applyFont="1" applyBorder="1" applyAlignment="1">
      <alignment horizontal="center" vertical="center"/>
    </xf>
    <xf numFmtId="167" fontId="18" fillId="2" borderId="37" xfId="0" applyNumberFormat="1" applyFont="1" applyFill="1" applyBorder="1" applyAlignment="1">
      <alignment horizontal="center" vertical="center"/>
    </xf>
    <xf numFmtId="0" fontId="11" fillId="2" borderId="36" xfId="3" applyFont="1" applyFill="1" applyBorder="1" applyAlignment="1">
      <alignment horizontal="center" vertical="center"/>
    </xf>
    <xf numFmtId="167" fontId="18" fillId="2" borderId="39" xfId="3" applyNumberFormat="1" applyFont="1" applyFill="1" applyBorder="1" applyAlignment="1">
      <alignment horizontal="center" vertical="center" wrapText="1"/>
    </xf>
    <xf numFmtId="0" fontId="26" fillId="0" borderId="6" xfId="0" applyFont="1" applyBorder="1" applyAlignment="1">
      <alignment wrapText="1"/>
    </xf>
    <xf numFmtId="2" fontId="16" fillId="0" borderId="6" xfId="0" applyNumberFormat="1" applyFont="1" applyBorder="1" applyAlignment="1">
      <alignment horizontal="center" vertical="center"/>
    </xf>
    <xf numFmtId="0" fontId="11" fillId="2" borderId="36" xfId="0" applyFont="1" applyFill="1" applyBorder="1" applyAlignment="1">
      <alignment horizontal="center" vertical="center"/>
    </xf>
    <xf numFmtId="0" fontId="11" fillId="2" borderId="17" xfId="3" applyFont="1" applyFill="1" applyBorder="1" applyAlignment="1">
      <alignment horizontal="center" vertical="center"/>
    </xf>
    <xf numFmtId="167" fontId="18" fillId="2" borderId="64" xfId="3" applyNumberFormat="1" applyFont="1" applyFill="1" applyBorder="1" applyAlignment="1">
      <alignment horizontal="center" vertical="center" wrapText="1"/>
    </xf>
    <xf numFmtId="167" fontId="18" fillId="2" borderId="39" xfId="0" applyNumberFormat="1" applyFont="1" applyFill="1" applyBorder="1" applyAlignment="1">
      <alignment horizontal="center" vertical="center" wrapText="1"/>
    </xf>
    <xf numFmtId="0" fontId="26" fillId="0" borderId="58" xfId="0" applyFont="1" applyBorder="1" applyAlignment="1">
      <alignment wrapText="1"/>
    </xf>
    <xf numFmtId="0" fontId="11" fillId="0" borderId="40" xfId="0" applyFont="1" applyBorder="1" applyAlignment="1">
      <alignment horizontal="center" vertical="center"/>
    </xf>
    <xf numFmtId="167" fontId="22" fillId="0" borderId="59" xfId="0" applyNumberFormat="1" applyFont="1" applyBorder="1" applyAlignment="1">
      <alignment horizontal="center" vertical="center" wrapText="1"/>
    </xf>
    <xf numFmtId="0" fontId="10" fillId="0" borderId="32" xfId="0" applyFont="1" applyBorder="1" applyAlignment="1">
      <alignment horizontal="center" vertical="center"/>
    </xf>
    <xf numFmtId="0" fontId="28" fillId="0" borderId="6" xfId="0" applyFont="1" applyBorder="1" applyAlignment="1">
      <alignment horizontal="center" vertical="center"/>
    </xf>
    <xf numFmtId="0" fontId="24" fillId="0" borderId="0" xfId="0" applyFont="1" applyBorder="1" applyAlignment="1">
      <alignment horizontal="center"/>
    </xf>
    <xf numFmtId="2" fontId="10" fillId="0" borderId="6"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6" xfId="0" applyFont="1" applyBorder="1" applyAlignment="1">
      <alignment horizontal="left" vertical="center" wrapText="1"/>
    </xf>
    <xf numFmtId="2" fontId="0" fillId="0" borderId="0" xfId="0" applyNumberFormat="1"/>
    <xf numFmtId="0" fontId="10" fillId="0" borderId="23" xfId="0" applyFont="1" applyBorder="1" applyAlignment="1">
      <alignment horizontal="center" vertical="center" wrapText="1"/>
    </xf>
    <xf numFmtId="0" fontId="11" fillId="0" borderId="24" xfId="0" applyFont="1" applyFill="1" applyBorder="1" applyAlignment="1">
      <alignment horizontal="center" vertical="center"/>
    </xf>
    <xf numFmtId="166" fontId="7" fillId="2" borderId="45" xfId="0" quotePrefix="1" applyNumberFormat="1" applyFont="1" applyFill="1" applyBorder="1" applyAlignment="1">
      <alignment horizontal="center" vertical="center"/>
    </xf>
    <xf numFmtId="0" fontId="11" fillId="0" borderId="24" xfId="0" quotePrefix="1" applyFont="1" applyBorder="1" applyAlignment="1">
      <alignment horizontal="center" vertical="center"/>
    </xf>
    <xf numFmtId="4" fontId="11" fillId="0" borderId="35" xfId="0" applyNumberFormat="1" applyFont="1" applyBorder="1" applyAlignment="1">
      <alignment horizontal="right" vertical="center"/>
    </xf>
    <xf numFmtId="10" fontId="18" fillId="0" borderId="61" xfId="0" applyNumberFormat="1" applyFont="1" applyBorder="1" applyAlignment="1">
      <alignment horizontal="center" vertical="center"/>
    </xf>
    <xf numFmtId="4" fontId="18" fillId="0" borderId="44" xfId="0" applyNumberFormat="1" applyFont="1" applyBorder="1" applyAlignment="1">
      <alignment horizontal="right" vertical="center"/>
    </xf>
    <xf numFmtId="0" fontId="20" fillId="0" borderId="38" xfId="0" applyFont="1" applyBorder="1" applyAlignment="1">
      <alignment vertical="center" wrapText="1"/>
    </xf>
    <xf numFmtId="0" fontId="23" fillId="0" borderId="12" xfId="0" applyFont="1" applyBorder="1" applyAlignment="1">
      <alignment vertical="center" wrapText="1"/>
    </xf>
    <xf numFmtId="0" fontId="23" fillId="0" borderId="48" xfId="0" applyFont="1" applyBorder="1" applyAlignment="1">
      <alignment vertical="center" wrapText="1"/>
    </xf>
    <xf numFmtId="0" fontId="12" fillId="0" borderId="26" xfId="0" applyFont="1" applyFill="1" applyBorder="1" applyAlignment="1">
      <alignment vertical="center"/>
    </xf>
    <xf numFmtId="167" fontId="35" fillId="0" borderId="6" xfId="0" applyNumberFormat="1" applyFont="1" applyBorder="1" applyAlignment="1">
      <alignment horizontal="center" vertical="center"/>
    </xf>
    <xf numFmtId="0" fontId="32" fillId="0" borderId="6" xfId="5" applyFont="1" applyBorder="1" applyAlignment="1">
      <alignment horizontal="left" vertical="center" wrapText="1"/>
    </xf>
    <xf numFmtId="0" fontId="32" fillId="0" borderId="6" xfId="5" applyFont="1" applyBorder="1" applyAlignment="1">
      <alignment horizontal="center" vertical="center" wrapText="1"/>
    </xf>
    <xf numFmtId="167" fontId="11" fillId="2" borderId="37" xfId="0" applyNumberFormat="1" applyFont="1" applyFill="1" applyBorder="1" applyAlignment="1">
      <alignment vertical="center"/>
    </xf>
    <xf numFmtId="167" fontId="11" fillId="2" borderId="39"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4" xfId="0" applyNumberFormat="1" applyFont="1" applyBorder="1" applyAlignment="1">
      <alignment horizontal="center" vertical="center"/>
    </xf>
    <xf numFmtId="167" fontId="10" fillId="0" borderId="6" xfId="0" applyNumberFormat="1" applyFont="1" applyBorder="1" applyAlignment="1">
      <alignment horizontal="center" vertical="center"/>
    </xf>
    <xf numFmtId="167" fontId="24" fillId="0" borderId="16" xfId="0" applyNumberFormat="1" applyFont="1" applyBorder="1" applyAlignment="1">
      <alignment horizontal="center" vertical="center" wrapText="1"/>
    </xf>
    <xf numFmtId="167" fontId="10" fillId="0" borderId="9" xfId="0" applyNumberFormat="1" applyFont="1" applyBorder="1" applyAlignment="1">
      <alignment horizontal="center" vertical="center"/>
    </xf>
    <xf numFmtId="171" fontId="10" fillId="0" borderId="6" xfId="0" applyNumberFormat="1" applyFont="1" applyBorder="1" applyAlignment="1">
      <alignment horizontal="center" vertical="center"/>
    </xf>
    <xf numFmtId="172" fontId="10" fillId="0" borderId="6" xfId="0" applyNumberFormat="1" applyFont="1" applyBorder="1" applyAlignment="1">
      <alignment horizontal="center" vertical="center"/>
    </xf>
    <xf numFmtId="2" fontId="16" fillId="0" borderId="58" xfId="0" applyNumberFormat="1" applyFont="1" applyBorder="1" applyAlignment="1">
      <alignment horizontal="center" vertical="center"/>
    </xf>
    <xf numFmtId="4" fontId="18" fillId="6" borderId="58" xfId="0" applyNumberFormat="1" applyFont="1" applyFill="1" applyBorder="1" applyAlignment="1">
      <alignment horizontal="right" vertical="center"/>
    </xf>
    <xf numFmtId="0" fontId="34" fillId="5" borderId="20" xfId="0" applyFont="1" applyFill="1" applyBorder="1" applyAlignment="1">
      <alignment horizontal="left" vertical="center" wrapText="1"/>
    </xf>
    <xf numFmtId="0" fontId="30" fillId="2" borderId="20" xfId="0" applyNumberFormat="1" applyFont="1" applyFill="1" applyBorder="1" applyAlignment="1">
      <alignment horizontal="center" vertical="center" wrapText="1"/>
    </xf>
    <xf numFmtId="2" fontId="11" fillId="0" borderId="0" xfId="0" applyNumberFormat="1" applyFont="1" applyFill="1" applyBorder="1" applyAlignment="1">
      <alignment horizontal="center" vertical="center"/>
    </xf>
    <xf numFmtId="0" fontId="9" fillId="0" borderId="25" xfId="0" applyFont="1" applyBorder="1" applyAlignment="1">
      <alignment horizontal="center" vertical="center"/>
    </xf>
    <xf numFmtId="0" fontId="9" fillId="0" borderId="74" xfId="0" applyFont="1" applyBorder="1" applyAlignment="1">
      <alignment horizontal="center" vertical="center"/>
    </xf>
    <xf numFmtId="0" fontId="56" fillId="0" borderId="46" xfId="0" applyFont="1" applyBorder="1" applyAlignment="1">
      <alignment horizontal="center" vertical="center"/>
    </xf>
    <xf numFmtId="0" fontId="9" fillId="0" borderId="46" xfId="0" applyFont="1" applyBorder="1" applyAlignment="1">
      <alignment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8" xfId="3" applyNumberFormat="1" applyFont="1" applyFill="1" applyBorder="1" applyAlignment="1">
      <alignment vertical="center"/>
    </xf>
    <xf numFmtId="0" fontId="18" fillId="5" borderId="20" xfId="0" applyFont="1" applyFill="1" applyBorder="1" applyAlignment="1">
      <alignment wrapText="1"/>
    </xf>
    <xf numFmtId="0" fontId="25" fillId="0" borderId="26" xfId="0" applyFont="1" applyBorder="1"/>
    <xf numFmtId="0" fontId="25" fillId="0" borderId="34" xfId="0" applyFont="1" applyBorder="1" applyAlignment="1">
      <alignment horizontal="right" vertical="center"/>
    </xf>
    <xf numFmtId="0" fontId="23" fillId="0" borderId="0" xfId="0" applyFont="1" applyBorder="1" applyAlignment="1">
      <alignment vertical="center" wrapText="1"/>
    </xf>
    <xf numFmtId="0" fontId="0" fillId="0" borderId="48" xfId="0" applyBorder="1"/>
    <xf numFmtId="0" fontId="24" fillId="0" borderId="48" xfId="0" applyFont="1" applyBorder="1" applyAlignment="1"/>
    <xf numFmtId="0" fontId="24" fillId="0" borderId="47" xfId="0" applyFont="1" applyBorder="1" applyAlignment="1"/>
    <xf numFmtId="0" fontId="11" fillId="0" borderId="6" xfId="0" quotePrefix="1" applyFont="1" applyBorder="1" applyAlignment="1">
      <alignment horizontal="center" vertical="center"/>
    </xf>
    <xf numFmtId="0" fontId="9" fillId="0" borderId="52" xfId="0" applyFont="1" applyBorder="1" applyAlignment="1">
      <alignment horizontal="center" vertical="center"/>
    </xf>
    <xf numFmtId="0" fontId="0" fillId="0" borderId="16" xfId="0" applyBorder="1" applyAlignment="1">
      <alignment vertical="center"/>
    </xf>
    <xf numFmtId="0" fontId="11" fillId="0" borderId="6" xfId="0" quotePrefix="1" applyFont="1" applyFill="1" applyBorder="1" applyAlignment="1">
      <alignment horizontal="left" vertical="center" wrapText="1"/>
    </xf>
    <xf numFmtId="0" fontId="11" fillId="0" borderId="6" xfId="0" quotePrefix="1" applyFont="1" applyBorder="1" applyAlignment="1">
      <alignment horizontal="left" vertical="center" wrapText="1"/>
    </xf>
    <xf numFmtId="0" fontId="23" fillId="5" borderId="27" xfId="0" quotePrefix="1" applyFont="1" applyFill="1" applyBorder="1" applyAlignment="1">
      <alignment horizontal="left" vertical="center" wrapText="1"/>
    </xf>
    <xf numFmtId="0" fontId="16" fillId="0" borderId="17" xfId="0" applyFont="1" applyBorder="1" applyAlignment="1">
      <alignment vertical="center"/>
    </xf>
    <xf numFmtId="0" fontId="22" fillId="0" borderId="0" xfId="0" applyFont="1" applyBorder="1" applyAlignment="1">
      <alignment horizontal="justify" vertical="center" wrapText="1"/>
    </xf>
    <xf numFmtId="0" fontId="22" fillId="0" borderId="8" xfId="0" applyFont="1" applyBorder="1" applyAlignment="1">
      <alignment horizontal="center" vertical="center" wrapText="1"/>
    </xf>
    <xf numFmtId="171" fontId="22" fillId="0" borderId="8" xfId="0" applyNumberFormat="1" applyFont="1" applyBorder="1" applyAlignment="1">
      <alignment horizontal="center" vertical="center" wrapText="1"/>
    </xf>
    <xf numFmtId="0" fontId="18" fillId="6" borderId="8" xfId="0" applyFont="1" applyFill="1" applyBorder="1" applyAlignment="1">
      <alignment horizontal="center" vertical="center" wrapText="1"/>
    </xf>
    <xf numFmtId="167" fontId="22" fillId="0" borderId="13" xfId="0" applyNumberFormat="1" applyFont="1" applyBorder="1" applyAlignment="1">
      <alignment horizontal="center" vertical="center" wrapText="1"/>
    </xf>
    <xf numFmtId="0" fontId="58" fillId="0" borderId="12" xfId="0" applyFont="1" applyBorder="1" applyAlignment="1">
      <alignment horizontal="center" vertical="center"/>
    </xf>
    <xf numFmtId="0" fontId="58" fillId="0" borderId="0" xfId="0" applyFont="1" applyBorder="1" applyAlignment="1">
      <alignment horizontal="center" vertical="center"/>
    </xf>
    <xf numFmtId="0" fontId="58" fillId="0" borderId="13" xfId="0" applyFont="1" applyBorder="1" applyAlignment="1">
      <alignment horizontal="center" vertical="center"/>
    </xf>
    <xf numFmtId="0" fontId="57" fillId="0" borderId="12" xfId="0" applyFont="1" applyBorder="1" applyAlignment="1">
      <alignment horizontal="center" vertical="center"/>
    </xf>
    <xf numFmtId="0" fontId="57" fillId="0" borderId="0" xfId="0" applyFont="1" applyBorder="1" applyAlignment="1">
      <alignment horizontal="right" vertical="center"/>
    </xf>
    <xf numFmtId="17" fontId="57" fillId="0" borderId="13" xfId="0" applyNumberFormat="1" applyFont="1" applyBorder="1" applyAlignment="1">
      <alignment horizontal="center" vertical="center"/>
    </xf>
    <xf numFmtId="0" fontId="57" fillId="0" borderId="0" xfId="0" applyFont="1" applyBorder="1" applyAlignment="1">
      <alignment horizontal="center" vertical="center"/>
    </xf>
    <xf numFmtId="0" fontId="59" fillId="0" borderId="39" xfId="0" applyFont="1" applyBorder="1" applyAlignment="1">
      <alignment horizontal="center" vertical="center"/>
    </xf>
    <xf numFmtId="0" fontId="0" fillId="0" borderId="31"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4"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2" xfId="0" applyBorder="1" applyAlignment="1">
      <alignment vertical="center"/>
    </xf>
    <xf numFmtId="0" fontId="0" fillId="0" borderId="9" xfId="0" applyBorder="1" applyAlignment="1">
      <alignment vertical="center"/>
    </xf>
    <xf numFmtId="10" fontId="0" fillId="0" borderId="35" xfId="2" applyNumberFormat="1" applyFont="1" applyBorder="1" applyAlignment="1">
      <alignment vertical="center"/>
    </xf>
    <xf numFmtId="0" fontId="0" fillId="0" borderId="55" xfId="0" applyBorder="1" applyAlignment="1">
      <alignment vertical="center"/>
    </xf>
    <xf numFmtId="0" fontId="23" fillId="0" borderId="57" xfId="0" applyFont="1" applyBorder="1" applyAlignment="1">
      <alignment horizontal="right" vertical="center"/>
    </xf>
    <xf numFmtId="10" fontId="23" fillId="0" borderId="39"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3" fillId="0" borderId="43" xfId="0" applyFont="1" applyBorder="1" applyAlignment="1">
      <alignment horizontal="right" vertical="center"/>
    </xf>
    <xf numFmtId="10" fontId="23" fillId="0" borderId="56" xfId="2" applyNumberFormat="1" applyFont="1" applyBorder="1" applyAlignment="1">
      <alignment vertical="center"/>
    </xf>
    <xf numFmtId="10" fontId="23" fillId="0" borderId="41" xfId="2" applyNumberFormat="1" applyFont="1" applyBorder="1" applyAlignment="1">
      <alignment vertical="center"/>
    </xf>
    <xf numFmtId="0" fontId="59" fillId="0" borderId="74" xfId="0" applyFont="1" applyBorder="1" applyAlignment="1">
      <alignment vertical="center"/>
    </xf>
    <xf numFmtId="0" fontId="59" fillId="0" borderId="42" xfId="0" applyFont="1" applyBorder="1" applyAlignment="1">
      <alignment horizontal="right" vertical="center"/>
    </xf>
    <xf numFmtId="10" fontId="23" fillId="0" borderId="19" xfId="2" applyNumberFormat="1" applyFont="1" applyBorder="1" applyAlignment="1">
      <alignment vertical="center"/>
    </xf>
    <xf numFmtId="0" fontId="0" fillId="0" borderId="0" xfId="0" applyNumberFormat="1" applyFill="1" applyBorder="1" applyAlignment="1">
      <alignment horizontal="left" vertical="center"/>
    </xf>
    <xf numFmtId="0" fontId="0" fillId="0" borderId="55" xfId="0" applyBorder="1"/>
    <xf numFmtId="0" fontId="16" fillId="0" borderId="43" xfId="0" applyFont="1" applyBorder="1" applyAlignment="1">
      <alignment horizontal="center" vertical="center" wrapText="1"/>
    </xf>
    <xf numFmtId="0" fontId="0" fillId="0" borderId="43" xfId="0" applyBorder="1" applyAlignment="1"/>
    <xf numFmtId="0" fontId="22" fillId="0" borderId="6" xfId="0" applyFont="1" applyBorder="1" applyAlignment="1">
      <alignment horizontal="center" vertical="center"/>
    </xf>
    <xf numFmtId="4" fontId="18" fillId="6" borderId="6" xfId="0" applyNumberFormat="1" applyFont="1" applyFill="1" applyBorder="1" applyAlignment="1">
      <alignment horizontal="right" vertical="center"/>
    </xf>
    <xf numFmtId="0" fontId="11" fillId="0" borderId="2" xfId="0" quotePrefix="1" applyFont="1" applyBorder="1" applyAlignment="1">
      <alignment horizontal="center"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2" fontId="7" fillId="0" borderId="22"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0" fontId="23" fillId="0" borderId="48"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2" fontId="62" fillId="0" borderId="0" xfId="0" applyNumberFormat="1" applyFont="1" applyFill="1" applyBorder="1" applyAlignment="1">
      <alignment horizontal="right" vertical="center" wrapText="1"/>
    </xf>
    <xf numFmtId="0" fontId="7" fillId="0" borderId="12" xfId="0" applyFont="1" applyBorder="1" applyAlignment="1">
      <alignment vertical="center"/>
    </xf>
    <xf numFmtId="168" fontId="7" fillId="0" borderId="13" xfId="1" applyNumberFormat="1" applyFont="1" applyBorder="1" applyAlignment="1">
      <alignment horizontal="right" vertical="center"/>
    </xf>
    <xf numFmtId="0" fontId="25" fillId="0" borderId="14" xfId="0" applyFont="1" applyBorder="1" applyAlignment="1">
      <alignment horizontal="right" vertical="center"/>
    </xf>
    <xf numFmtId="10" fontId="21" fillId="0" borderId="13" xfId="0" applyNumberFormat="1" applyFont="1" applyBorder="1" applyAlignment="1">
      <alignment horizontal="right" vertical="center" wrapText="1"/>
    </xf>
    <xf numFmtId="0" fontId="11" fillId="0" borderId="6" xfId="0" applyFont="1" applyFill="1" applyBorder="1" applyAlignment="1">
      <alignment horizontal="center" vertical="center"/>
    </xf>
    <xf numFmtId="4" fontId="11" fillId="3" borderId="6" xfId="0" applyNumberFormat="1" applyFont="1" applyFill="1" applyBorder="1" applyAlignment="1">
      <alignment vertical="center"/>
    </xf>
    <xf numFmtId="0" fontId="11" fillId="32" borderId="6" xfId="0" quotePrefix="1" applyFont="1" applyFill="1" applyBorder="1" applyAlignment="1">
      <alignment horizontal="center" vertical="center"/>
    </xf>
    <xf numFmtId="4" fontId="11" fillId="32" borderId="16" xfId="0" applyNumberFormat="1" applyFont="1" applyFill="1" applyBorder="1" applyAlignment="1">
      <alignment horizontal="right" vertical="center"/>
    </xf>
    <xf numFmtId="0" fontId="18" fillId="32" borderId="6" xfId="0" quotePrefix="1" applyFont="1" applyFill="1" applyBorder="1" applyAlignment="1">
      <alignment horizontal="left" vertical="center"/>
    </xf>
    <xf numFmtId="0" fontId="9" fillId="0" borderId="6" xfId="0" quotePrefix="1" applyFont="1" applyBorder="1" applyAlignment="1">
      <alignment horizontal="center" vertical="center"/>
    </xf>
    <xf numFmtId="0" fontId="0" fillId="0" borderId="0" xfId="0" applyAlignment="1">
      <alignment horizontal="center" vertical="center"/>
    </xf>
    <xf numFmtId="0" fontId="11" fillId="0" borderId="6" xfId="0" applyFont="1" applyFill="1" applyBorder="1" applyAlignment="1">
      <alignment horizontal="left" vertical="center" wrapText="1"/>
    </xf>
    <xf numFmtId="0" fontId="29" fillId="0" borderId="0" xfId="0" applyFont="1" applyAlignment="1">
      <alignment horizontal="left" vertical="center"/>
    </xf>
    <xf numFmtId="0" fontId="11" fillId="0" borderId="7" xfId="0" applyFont="1" applyBorder="1" applyAlignment="1">
      <alignment horizontal="center" vertical="center"/>
    </xf>
    <xf numFmtId="0" fontId="31" fillId="0" borderId="4"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8" xfId="0" applyNumberFormat="1" applyFont="1" applyBorder="1" applyAlignment="1">
      <alignment horizontal="center" vertical="center"/>
    </xf>
    <xf numFmtId="4" fontId="11" fillId="0" borderId="10" xfId="0" applyNumberFormat="1" applyFont="1" applyBorder="1" applyAlignment="1">
      <alignment horizontal="center" vertical="center"/>
    </xf>
    <xf numFmtId="0" fontId="10" fillId="0" borderId="6" xfId="0" applyFont="1" applyFill="1" applyBorder="1" applyAlignment="1">
      <alignment horizontal="center" vertical="center"/>
    </xf>
    <xf numFmtId="173" fontId="16" fillId="0" borderId="6" xfId="1" applyNumberFormat="1" applyFont="1" applyBorder="1" applyAlignment="1">
      <alignment horizontal="center" vertical="center"/>
    </xf>
    <xf numFmtId="167" fontId="23" fillId="0" borderId="16"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9" xfId="0" applyFont="1" applyBorder="1" applyAlignment="1">
      <alignment horizontal="center" vertical="center"/>
    </xf>
    <xf numFmtId="0" fontId="23" fillId="0" borderId="6" xfId="0" applyFont="1" applyBorder="1" applyAlignment="1">
      <alignment horizontal="center" vertical="center"/>
    </xf>
    <xf numFmtId="0" fontId="31" fillId="0" borderId="14" xfId="0" applyFont="1" applyBorder="1" applyAlignment="1">
      <alignment wrapText="1"/>
    </xf>
    <xf numFmtId="2" fontId="11" fillId="6" borderId="14" xfId="1" applyNumberFormat="1" applyFont="1" applyFill="1" applyBorder="1" applyAlignment="1">
      <alignment horizontal="center" vertical="center"/>
    </xf>
    <xf numFmtId="0" fontId="11" fillId="0" borderId="18" xfId="0" applyFont="1" applyFill="1" applyBorder="1" applyAlignment="1">
      <alignment horizontal="center" vertical="center"/>
    </xf>
    <xf numFmtId="0" fontId="11" fillId="0" borderId="61" xfId="0" quotePrefix="1" applyFont="1" applyBorder="1" applyAlignment="1">
      <alignment horizontal="left" vertical="center" wrapText="1"/>
    </xf>
    <xf numFmtId="2" fontId="0" fillId="0" borderId="0" xfId="0" applyNumberFormat="1" applyAlignment="1">
      <alignment horizontal="left" vertical="center"/>
    </xf>
    <xf numFmtId="2" fontId="72" fillId="0" borderId="0" xfId="0" applyNumberFormat="1" applyFont="1" applyAlignment="1">
      <alignment horizontal="left" vertical="center"/>
    </xf>
    <xf numFmtId="0" fontId="23" fillId="5" borderId="34" xfId="0" applyFont="1" applyFill="1" applyBorder="1" applyAlignment="1">
      <alignment horizontal="left" vertical="center" wrapText="1"/>
    </xf>
    <xf numFmtId="0" fontId="18" fillId="5" borderId="27" xfId="0" quotePrefix="1" applyFont="1" applyFill="1" applyBorder="1" applyAlignment="1">
      <alignment horizontal="left" vertical="center" wrapText="1"/>
    </xf>
    <xf numFmtId="0" fontId="11" fillId="0" borderId="6" xfId="0" applyFont="1" applyBorder="1" applyAlignment="1">
      <alignment horizontal="center" vertical="center" wrapText="1"/>
    </xf>
    <xf numFmtId="167" fontId="11" fillId="3" borderId="6" xfId="0" applyNumberFormat="1" applyFont="1" applyFill="1" applyBorder="1" applyAlignment="1">
      <alignment horizontal="right" vertical="center"/>
    </xf>
    <xf numFmtId="4" fontId="11" fillId="3"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wrapText="1"/>
    </xf>
    <xf numFmtId="4" fontId="11" fillId="0" borderId="6" xfId="0" applyNumberFormat="1" applyFont="1" applyBorder="1" applyAlignment="1">
      <alignment horizontal="right" vertical="center"/>
    </xf>
    <xf numFmtId="0" fontId="16" fillId="0" borderId="0" xfId="0" applyFont="1" applyBorder="1" applyAlignment="1">
      <alignment horizontal="left" vertical="center" wrapText="1"/>
    </xf>
    <xf numFmtId="0" fontId="23" fillId="5" borderId="22" xfId="0" applyFont="1" applyFill="1" applyBorder="1" applyAlignment="1">
      <alignment horizontal="center" vertical="center"/>
    </xf>
    <xf numFmtId="0" fontId="23" fillId="5" borderId="22" xfId="0" applyFont="1" applyFill="1" applyBorder="1" applyAlignment="1">
      <alignment vertical="center"/>
    </xf>
    <xf numFmtId="0" fontId="23" fillId="0" borderId="24" xfId="0" applyFont="1" applyBorder="1" applyAlignment="1">
      <alignment vertical="center"/>
    </xf>
    <xf numFmtId="0" fontId="23" fillId="0" borderId="16" xfId="0" applyFont="1" applyBorder="1" applyAlignment="1">
      <alignment horizontal="center" vertical="center"/>
    </xf>
    <xf numFmtId="0" fontId="10" fillId="0" borderId="24" xfId="0" applyFont="1" applyBorder="1" applyAlignment="1">
      <alignment horizontal="center" vertical="center"/>
    </xf>
    <xf numFmtId="0" fontId="10" fillId="0" borderId="6" xfId="0" applyFont="1" applyFill="1" applyBorder="1" applyAlignment="1">
      <alignment vertical="center" wrapText="1"/>
    </xf>
    <xf numFmtId="175" fontId="10" fillId="0" borderId="16" xfId="0" applyNumberFormat="1" applyFont="1" applyBorder="1" applyAlignment="1">
      <alignment horizontal="center" vertical="center"/>
    </xf>
    <xf numFmtId="176" fontId="10" fillId="0" borderId="6" xfId="0" applyNumberFormat="1" applyFont="1" applyBorder="1" applyAlignment="1">
      <alignment horizontal="center" vertical="center"/>
    </xf>
    <xf numFmtId="0" fontId="10" fillId="6" borderId="24" xfId="0" applyFont="1" applyFill="1" applyBorder="1" applyAlignment="1">
      <alignment horizontal="center" vertical="center"/>
    </xf>
    <xf numFmtId="167" fontId="10" fillId="0" borderId="30" xfId="0" applyNumberFormat="1" applyFont="1" applyBorder="1" applyAlignment="1">
      <alignment horizontal="center" vertical="center" wrapText="1"/>
    </xf>
    <xf numFmtId="0" fontId="11" fillId="0" borderId="3" xfId="0" applyFont="1" applyBorder="1" applyAlignment="1">
      <alignment horizontal="justify" vertical="center" wrapText="1"/>
    </xf>
    <xf numFmtId="0" fontId="9" fillId="0" borderId="6" xfId="0" applyFont="1" applyBorder="1" applyAlignment="1">
      <alignment horizontal="center" vertical="center" wrapText="1"/>
    </xf>
    <xf numFmtId="171" fontId="11" fillId="0" borderId="6" xfId="0" applyNumberFormat="1" applyFont="1" applyBorder="1" applyAlignment="1">
      <alignment horizontal="center" vertical="center" wrapText="1"/>
    </xf>
    <xf numFmtId="167" fontId="18" fillId="0" borderId="30" xfId="0" applyNumberFormat="1" applyFont="1" applyBorder="1" applyAlignment="1">
      <alignment horizontal="center" vertical="center" wrapText="1"/>
    </xf>
    <xf numFmtId="0" fontId="18" fillId="0" borderId="3" xfId="0" applyFont="1" applyBorder="1" applyAlignment="1">
      <alignment horizontal="justify" vertical="center" wrapText="1"/>
    </xf>
    <xf numFmtId="0" fontId="10" fillId="0" borderId="58" xfId="0" applyFont="1" applyBorder="1" applyAlignment="1">
      <alignment wrapText="1"/>
    </xf>
    <xf numFmtId="2" fontId="11" fillId="0" borderId="58" xfId="0" applyNumberFormat="1" applyFont="1" applyBorder="1" applyAlignment="1">
      <alignment horizontal="center" vertical="center"/>
    </xf>
    <xf numFmtId="0" fontId="23" fillId="0" borderId="6" xfId="0" applyFont="1" applyBorder="1" applyAlignment="1">
      <alignment horizontal="center" vertical="center" wrapText="1"/>
    </xf>
    <xf numFmtId="0" fontId="10" fillId="0" borderId="3" xfId="0" applyFont="1" applyFill="1" applyBorder="1" applyAlignment="1">
      <alignment vertical="center" wrapText="1"/>
    </xf>
    <xf numFmtId="0" fontId="10" fillId="6" borderId="32" xfId="0" applyFont="1" applyFill="1" applyBorder="1" applyAlignment="1">
      <alignment horizontal="center" vertical="center"/>
    </xf>
    <xf numFmtId="176" fontId="10" fillId="0" borderId="9" xfId="0" applyNumberFormat="1" applyFont="1" applyBorder="1" applyAlignment="1">
      <alignment horizontal="center" vertical="center"/>
    </xf>
    <xf numFmtId="2" fontId="10" fillId="0" borderId="9" xfId="0" applyNumberFormat="1" applyFont="1" applyBorder="1" applyAlignment="1">
      <alignment horizontal="center" vertical="center"/>
    </xf>
    <xf numFmtId="175" fontId="10" fillId="0" borderId="35" xfId="0" applyNumberFormat="1" applyFont="1" applyBorder="1" applyAlignment="1">
      <alignment horizontal="center" vertical="center"/>
    </xf>
    <xf numFmtId="2" fontId="0" fillId="0" borderId="0" xfId="0" applyNumberFormat="1" applyFill="1"/>
    <xf numFmtId="2" fontId="73" fillId="0" borderId="0" xfId="0" applyNumberFormat="1" applyFont="1" applyFill="1" applyBorder="1" applyAlignment="1">
      <alignment horizontal="center" vertical="center"/>
    </xf>
    <xf numFmtId="0" fontId="0" fillId="0" borderId="0" xfId="0" applyFill="1"/>
    <xf numFmtId="2" fontId="73" fillId="0" borderId="0" xfId="0" applyNumberFormat="1" applyFont="1" applyFill="1" applyBorder="1" applyAlignment="1">
      <alignment horizontal="left" vertical="center"/>
    </xf>
    <xf numFmtId="0" fontId="11" fillId="32" borderId="24" xfId="0" applyFont="1" applyFill="1" applyBorder="1" applyAlignment="1">
      <alignment horizontal="center" vertical="center"/>
    </xf>
    <xf numFmtId="2" fontId="74" fillId="0" borderId="0" xfId="0" applyNumberFormat="1" applyFont="1" applyAlignment="1">
      <alignment horizontal="left" vertical="center"/>
    </xf>
    <xf numFmtId="0" fontId="11" fillId="0" borderId="25" xfId="0" applyFont="1" applyFill="1" applyBorder="1" applyAlignment="1">
      <alignment horizontal="center" vertical="center"/>
    </xf>
    <xf numFmtId="0" fontId="63" fillId="0" borderId="0" xfId="0" applyFont="1" applyBorder="1" applyAlignment="1">
      <alignment horizontal="left" vertical="center"/>
    </xf>
    <xf numFmtId="0" fontId="11" fillId="0" borderId="74" xfId="0" quotePrefix="1" applyFont="1" applyBorder="1" applyAlignment="1">
      <alignment horizontal="center" vertical="center"/>
    </xf>
    <xf numFmtId="2" fontId="66"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5" xfId="0" quotePrefix="1" applyFont="1" applyBorder="1" applyAlignment="1">
      <alignment horizontal="center" vertical="center"/>
    </xf>
    <xf numFmtId="0" fontId="11" fillId="0" borderId="25" xfId="0" quotePrefix="1" applyFont="1" applyFill="1" applyBorder="1" applyAlignment="1">
      <alignment horizontal="center" vertical="center"/>
    </xf>
    <xf numFmtId="0" fontId="7" fillId="2" borderId="22" xfId="0" quotePrefix="1" applyFont="1" applyFill="1" applyBorder="1" applyAlignment="1">
      <alignment horizontal="center" vertical="center"/>
    </xf>
    <xf numFmtId="0" fontId="24" fillId="0" borderId="24" xfId="0" applyFont="1" applyBorder="1" applyAlignment="1">
      <alignment horizontal="center" vertical="center"/>
    </xf>
    <xf numFmtId="0" fontId="24" fillId="0" borderId="32" xfId="0" applyFont="1" applyBorder="1" applyAlignment="1">
      <alignment horizontal="center" vertical="center"/>
    </xf>
    <xf numFmtId="167" fontId="24" fillId="0" borderId="6"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9" xfId="3" applyFont="1" applyFill="1" applyBorder="1" applyAlignment="1">
      <alignment horizontal="right" vertical="center"/>
    </xf>
    <xf numFmtId="0" fontId="24" fillId="0" borderId="12" xfId="0" applyFont="1" applyBorder="1" applyAlignment="1">
      <alignment horizontal="center" vertical="center"/>
    </xf>
    <xf numFmtId="0" fontId="24" fillId="0" borderId="6" xfId="0" applyFont="1" applyBorder="1" applyAlignment="1">
      <alignment horizontal="left" vertical="center" wrapText="1"/>
    </xf>
    <xf numFmtId="0" fontId="24" fillId="0" borderId="34" xfId="0" applyFont="1" applyBorder="1"/>
    <xf numFmtId="0" fontId="17" fillId="0" borderId="34" xfId="0" applyFont="1" applyBorder="1"/>
    <xf numFmtId="0" fontId="17" fillId="0" borderId="0" xfId="0" applyFont="1" applyBorder="1"/>
    <xf numFmtId="0" fontId="24" fillId="0" borderId="46" xfId="0" applyFont="1" applyBorder="1"/>
    <xf numFmtId="0" fontId="17" fillId="0" borderId="46" xfId="0" applyFont="1" applyBorder="1"/>
    <xf numFmtId="0" fontId="10" fillId="0" borderId="0" xfId="0" applyFont="1" applyBorder="1"/>
    <xf numFmtId="167" fontId="25" fillId="0" borderId="16" xfId="0" applyNumberFormat="1" applyFont="1" applyBorder="1" applyAlignment="1">
      <alignment horizontal="center" vertical="center" wrapText="1"/>
    </xf>
    <xf numFmtId="167" fontId="23" fillId="2" borderId="44" xfId="3" applyNumberFormat="1" applyFont="1" applyFill="1" applyBorder="1" applyAlignment="1">
      <alignment horizontal="center" vertical="center" wrapText="1"/>
    </xf>
    <xf numFmtId="167" fontId="23" fillId="0" borderId="19" xfId="0" applyNumberFormat="1" applyFont="1" applyBorder="1" applyAlignment="1">
      <alignment horizontal="center" vertical="center" wrapText="1"/>
    </xf>
    <xf numFmtId="14" fontId="10" fillId="0" borderId="6" xfId="0" applyNumberFormat="1" applyFont="1" applyBorder="1" applyAlignment="1">
      <alignment horizontal="left" vertical="center" wrapText="1"/>
    </xf>
    <xf numFmtId="0" fontId="10" fillId="0" borderId="0" xfId="0" applyFont="1" applyFill="1" applyBorder="1" applyAlignment="1">
      <alignment vertical="center"/>
    </xf>
    <xf numFmtId="0" fontId="67" fillId="0" borderId="0" xfId="0" applyFont="1" applyFill="1" applyBorder="1" applyAlignment="1">
      <alignment vertical="center"/>
    </xf>
    <xf numFmtId="2" fontId="60" fillId="0" borderId="0" xfId="0" applyNumberFormat="1" applyFont="1" applyFill="1" applyBorder="1" applyAlignment="1">
      <alignment horizontal="left" vertical="center"/>
    </xf>
    <xf numFmtId="177" fontId="24" fillId="0" borderId="6"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5"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2" xfId="0" applyFont="1" applyFill="1" applyBorder="1" applyAlignment="1">
      <alignment horizontal="justify" vertical="center" wrapText="1"/>
    </xf>
    <xf numFmtId="0" fontId="23" fillId="5" borderId="2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2" borderId="45" xfId="0" applyFont="1" applyFill="1" applyBorder="1" applyAlignment="1">
      <alignment horizontal="center" vertical="center"/>
    </xf>
    <xf numFmtId="0" fontId="65" fillId="0" borderId="0" xfId="0" applyFont="1"/>
    <xf numFmtId="0" fontId="32" fillId="30" borderId="24" xfId="5" applyFont="1" applyFill="1" applyBorder="1" applyAlignment="1">
      <alignment horizontal="center" vertical="center" wrapText="1"/>
    </xf>
    <xf numFmtId="167" fontId="10" fillId="0" borderId="8" xfId="0" applyNumberFormat="1" applyFont="1" applyBorder="1" applyAlignment="1">
      <alignment horizontal="center" vertical="center"/>
    </xf>
    <xf numFmtId="0" fontId="10" fillId="0" borderId="24" xfId="0" quotePrefix="1" applyFont="1" applyBorder="1" applyAlignment="1">
      <alignment horizontal="center" vertical="center"/>
    </xf>
    <xf numFmtId="0" fontId="10" fillId="0" borderId="6" xfId="0" quotePrefix="1" applyFont="1" applyBorder="1" applyAlignment="1">
      <alignment horizontal="center" vertical="center"/>
    </xf>
    <xf numFmtId="2" fontId="61" fillId="0" borderId="0" xfId="0" applyNumberFormat="1" applyFont="1" applyAlignment="1">
      <alignment horizontal="center" vertical="center"/>
    </xf>
    <xf numFmtId="0" fontId="27" fillId="0" borderId="0" xfId="0" applyFont="1" applyAlignment="1">
      <alignment horizontal="center" vertical="center"/>
    </xf>
    <xf numFmtId="0" fontId="62" fillId="0" borderId="0" xfId="0" applyFont="1" applyAlignment="1">
      <alignment horizontal="center" vertical="center"/>
    </xf>
    <xf numFmtId="167" fontId="23" fillId="2" borderId="20"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8" xfId="0" applyFont="1" applyBorder="1" applyAlignment="1">
      <alignment horizontal="center" vertical="center" wrapText="1"/>
    </xf>
    <xf numFmtId="171" fontId="25" fillId="0" borderId="8"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167" fontId="25" fillId="0" borderId="13" xfId="0" applyNumberFormat="1" applyFont="1" applyBorder="1" applyAlignment="1">
      <alignment horizontal="center" vertical="center" wrapText="1"/>
    </xf>
    <xf numFmtId="0" fontId="32" fillId="30" borderId="6" xfId="5" applyFont="1" applyFill="1" applyBorder="1" applyAlignment="1">
      <alignment horizontal="left" vertical="center" wrapText="1"/>
    </xf>
    <xf numFmtId="176" fontId="24" fillId="0" borderId="6" xfId="0" applyNumberFormat="1" applyFont="1" applyBorder="1" applyAlignment="1">
      <alignment horizontal="center" vertical="center"/>
    </xf>
    <xf numFmtId="171" fontId="10" fillId="0" borderId="6" xfId="0" applyNumberFormat="1" applyFont="1" applyBorder="1" applyAlignment="1">
      <alignment horizontal="center" vertical="center" wrapText="1"/>
    </xf>
    <xf numFmtId="4" fontId="23" fillId="6" borderId="6" xfId="0" applyNumberFormat="1" applyFont="1" applyFill="1" applyBorder="1" applyAlignment="1">
      <alignment horizontal="right" vertical="center"/>
    </xf>
    <xf numFmtId="171" fontId="23" fillId="0" borderId="6"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173" fontId="24" fillId="0" borderId="6"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2" fontId="10" fillId="0" borderId="58" xfId="0" applyNumberFormat="1" applyFont="1" applyBorder="1" applyAlignment="1">
      <alignment horizontal="center" vertical="center"/>
    </xf>
    <xf numFmtId="4" fontId="23" fillId="6" borderId="58"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5" fillId="0" borderId="0" xfId="5" applyFont="1" applyBorder="1" applyAlignment="1">
      <alignment horizontal="center" vertical="center" wrapText="1"/>
    </xf>
    <xf numFmtId="4" fontId="75" fillId="0" borderId="0" xfId="5" applyNumberFormat="1" applyFont="1" applyFill="1" applyBorder="1" applyAlignment="1">
      <alignment horizontal="center" vertical="center" wrapText="1"/>
    </xf>
    <xf numFmtId="4" fontId="75"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6" xfId="0" applyNumberFormat="1" applyFont="1" applyBorder="1" applyAlignment="1">
      <alignment horizontal="center" vertical="center"/>
    </xf>
    <xf numFmtId="0" fontId="55" fillId="0" borderId="0" xfId="0" applyFont="1" applyAlignment="1">
      <alignment horizontal="center" vertical="center"/>
    </xf>
    <xf numFmtId="0" fontId="77" fillId="0" borderId="0" xfId="0" applyFont="1" applyAlignment="1">
      <alignment horizontal="left" vertical="center"/>
    </xf>
    <xf numFmtId="164" fontId="10" fillId="0" borderId="6" xfId="0" applyNumberFormat="1" applyFont="1" applyBorder="1" applyAlignment="1">
      <alignment horizontal="center" vertical="center"/>
    </xf>
    <xf numFmtId="0" fontId="23" fillId="5" borderId="22" xfId="0" applyFont="1" applyFill="1" applyBorder="1" applyAlignment="1">
      <alignment vertical="center" wrapText="1"/>
    </xf>
    <xf numFmtId="0" fontId="23" fillId="5" borderId="41" xfId="0" applyFont="1" applyFill="1" applyBorder="1" applyAlignment="1">
      <alignment horizontal="right" vertical="center"/>
    </xf>
    <xf numFmtId="0" fontId="23" fillId="2" borderId="36" xfId="0" applyFont="1" applyFill="1" applyBorder="1" applyAlignment="1">
      <alignment horizontal="center" vertical="center"/>
    </xf>
    <xf numFmtId="0" fontId="23" fillId="5" borderId="37" xfId="0" applyFont="1" applyFill="1" applyBorder="1" applyAlignment="1">
      <alignment vertical="center" wrapText="1"/>
    </xf>
    <xf numFmtId="0" fontId="22" fillId="0" borderId="0" xfId="0" applyFont="1" applyAlignment="1">
      <alignment horizontal="center" vertical="center"/>
    </xf>
    <xf numFmtId="167" fontId="10" fillId="0" borderId="16" xfId="0" applyNumberFormat="1" applyFont="1" applyBorder="1" applyAlignment="1">
      <alignment horizontal="center" vertical="center"/>
    </xf>
    <xf numFmtId="172" fontId="24" fillId="0" borderId="6" xfId="0" applyNumberFormat="1" applyFont="1" applyBorder="1" applyAlignment="1">
      <alignment horizontal="center" vertical="center" wrapText="1"/>
    </xf>
    <xf numFmtId="167" fontId="23" fillId="0" borderId="16" xfId="0" applyNumberFormat="1" applyFont="1" applyBorder="1" applyAlignment="1">
      <alignment horizontal="center" vertical="center"/>
    </xf>
    <xf numFmtId="167" fontId="25" fillId="0" borderId="35" xfId="0" applyNumberFormat="1" applyFont="1" applyBorder="1" applyAlignment="1">
      <alignment horizontal="center" vertical="center" wrapText="1"/>
    </xf>
    <xf numFmtId="0" fontId="65" fillId="0" borderId="0" xfId="0" applyFont="1" applyAlignment="1">
      <alignment horizontal="left" vertical="center"/>
    </xf>
    <xf numFmtId="0" fontId="11" fillId="0" borderId="0" xfId="0" applyFont="1" applyAlignment="1">
      <alignment horizontal="left" vertical="center" wrapText="1" indent="1"/>
    </xf>
    <xf numFmtId="167" fontId="23" fillId="2" borderId="39" xfId="0" applyNumberFormat="1" applyFont="1" applyFill="1" applyBorder="1" applyAlignment="1">
      <alignment horizontal="center" vertical="center" wrapText="1"/>
    </xf>
    <xf numFmtId="0" fontId="23" fillId="5" borderId="43" xfId="0" applyFont="1" applyFill="1" applyBorder="1" applyAlignment="1">
      <alignment horizontal="left" vertical="center" wrapText="1" indent="1"/>
    </xf>
    <xf numFmtId="0" fontId="24" fillId="0" borderId="6" xfId="0" applyFont="1" applyBorder="1" applyAlignment="1">
      <alignment horizontal="center" vertical="center" wrapText="1"/>
    </xf>
    <xf numFmtId="0" fontId="11" fillId="2" borderId="45" xfId="3" applyFont="1" applyFill="1" applyBorder="1" applyAlignment="1">
      <alignment horizontal="center" vertical="center"/>
    </xf>
    <xf numFmtId="167" fontId="18" fillId="2" borderId="49" xfId="3" applyNumberFormat="1" applyFont="1" applyFill="1" applyBorder="1" applyAlignment="1">
      <alignment horizontal="center" vertical="center" wrapText="1"/>
    </xf>
    <xf numFmtId="0" fontId="77" fillId="0" borderId="0" xfId="0" applyFont="1" applyAlignment="1">
      <alignment horizontal="left" vertical="center" wrapText="1"/>
    </xf>
    <xf numFmtId="0" fontId="24" fillId="0" borderId="0" xfId="0" applyFont="1" applyAlignment="1">
      <alignment horizontal="left" vertical="center"/>
    </xf>
    <xf numFmtId="0" fontId="10" fillId="6" borderId="6" xfId="0" quotePrefix="1" applyFont="1" applyFill="1" applyBorder="1" applyAlignment="1">
      <alignment horizontal="left" vertical="center" wrapText="1"/>
    </xf>
    <xf numFmtId="0" fontId="23" fillId="5" borderId="36" xfId="0" applyFont="1" applyFill="1" applyBorder="1" applyAlignment="1">
      <alignment horizontal="center" vertical="center"/>
    </xf>
    <xf numFmtId="0" fontId="23" fillId="5" borderId="37" xfId="0" applyFont="1" applyFill="1" applyBorder="1" applyAlignment="1">
      <alignment horizontal="left" vertical="center" wrapText="1"/>
    </xf>
    <xf numFmtId="167" fontId="18" fillId="5" borderId="37" xfId="0" applyNumberFormat="1" applyFont="1" applyFill="1" applyBorder="1" applyAlignment="1">
      <alignment horizontal="center" vertical="center"/>
    </xf>
    <xf numFmtId="167" fontId="11" fillId="5" borderId="37" xfId="0" applyNumberFormat="1" applyFont="1" applyFill="1" applyBorder="1" applyAlignment="1">
      <alignment vertical="center"/>
    </xf>
    <xf numFmtId="167" fontId="11" fillId="5" borderId="39" xfId="0" applyNumberFormat="1" applyFont="1" applyFill="1" applyBorder="1" applyAlignment="1">
      <alignment horizontal="center" vertical="center"/>
    </xf>
    <xf numFmtId="0" fontId="18" fillId="0" borderId="24" xfId="0" applyFont="1" applyFill="1" applyBorder="1" applyAlignment="1">
      <alignment vertical="center"/>
    </xf>
    <xf numFmtId="0" fontId="23" fillId="0" borderId="6" xfId="0" applyFont="1" applyFill="1" applyBorder="1" applyAlignment="1">
      <alignment horizontal="justify" vertical="center" wrapText="1"/>
    </xf>
    <xf numFmtId="0" fontId="23" fillId="0" borderId="6" xfId="0" applyFont="1" applyFill="1" applyBorder="1" applyAlignment="1">
      <alignment horizontal="center" vertical="center" wrapText="1"/>
    </xf>
    <xf numFmtId="171" fontId="23" fillId="0" borderId="6" xfId="0" applyNumberFormat="1" applyFont="1" applyFill="1" applyBorder="1" applyAlignment="1">
      <alignment horizontal="center" vertical="center" wrapText="1"/>
    </xf>
    <xf numFmtId="167" fontId="23" fillId="0" borderId="6"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0" fontId="16" fillId="0" borderId="6" xfId="0" applyFont="1" applyFill="1" applyBorder="1" applyAlignment="1">
      <alignment horizontal="center" vertical="center" wrapText="1"/>
    </xf>
    <xf numFmtId="172" fontId="10" fillId="0" borderId="6" xfId="0" applyNumberFormat="1" applyFont="1" applyFill="1" applyBorder="1" applyAlignment="1">
      <alignment horizontal="center" vertical="center"/>
    </xf>
    <xf numFmtId="167" fontId="10" fillId="0" borderId="6" xfId="0" applyNumberFormat="1" applyFont="1" applyFill="1" applyBorder="1" applyAlignment="1">
      <alignment horizontal="center" vertical="center"/>
    </xf>
    <xf numFmtId="167" fontId="10" fillId="0" borderId="16" xfId="0" applyNumberFormat="1" applyFont="1" applyFill="1" applyBorder="1" applyAlignment="1">
      <alignment horizontal="center" vertical="center"/>
    </xf>
    <xf numFmtId="0" fontId="32" fillId="0" borderId="6" xfId="5" applyFont="1" applyFill="1" applyBorder="1" applyAlignment="1">
      <alignment horizontal="left" vertical="center" wrapText="1"/>
    </xf>
    <xf numFmtId="167" fontId="11" fillId="0" borderId="6" xfId="0" applyNumberFormat="1" applyFont="1" applyFill="1" applyBorder="1" applyAlignment="1">
      <alignment vertical="center" wrapText="1"/>
    </xf>
    <xf numFmtId="167" fontId="11" fillId="0" borderId="6" xfId="0" applyNumberFormat="1" applyFont="1" applyFill="1" applyBorder="1" applyAlignment="1">
      <alignment vertical="center"/>
    </xf>
    <xf numFmtId="167" fontId="23" fillId="0" borderId="16"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22" fillId="0" borderId="9" xfId="0" applyFont="1" applyFill="1" applyBorder="1" applyAlignment="1">
      <alignment horizontal="justify" vertical="center" wrapText="1"/>
    </xf>
    <xf numFmtId="0" fontId="25" fillId="0" borderId="6" xfId="0" applyFont="1" applyFill="1" applyBorder="1" applyAlignment="1">
      <alignment horizontal="center" vertical="center" wrapText="1"/>
    </xf>
    <xf numFmtId="171" fontId="25" fillId="0" borderId="6" xfId="0" applyNumberFormat="1" applyFont="1" applyFill="1" applyBorder="1" applyAlignment="1">
      <alignment horizontal="center" vertical="center" wrapText="1"/>
    </xf>
    <xf numFmtId="167" fontId="25" fillId="0" borderId="16" xfId="0" applyNumberFormat="1" applyFont="1" applyFill="1" applyBorder="1" applyAlignment="1">
      <alignment horizontal="center" vertical="center" wrapText="1"/>
    </xf>
    <xf numFmtId="166" fontId="10" fillId="0" borderId="24" xfId="0" applyNumberFormat="1" applyFont="1" applyFill="1" applyBorder="1" applyAlignment="1">
      <alignment horizontal="center" vertical="center" wrapText="1"/>
    </xf>
    <xf numFmtId="171" fontId="24"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0" borderId="0" xfId="0" applyFont="1"/>
    <xf numFmtId="166" fontId="11" fillId="0" borderId="24" xfId="0" applyNumberFormat="1" applyFont="1" applyFill="1" applyBorder="1" applyAlignment="1">
      <alignment horizontal="center" vertical="center" wrapText="1"/>
    </xf>
    <xf numFmtId="167" fontId="25" fillId="0" borderId="35" xfId="0"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167" fontId="23" fillId="0" borderId="39" xfId="0" applyNumberFormat="1" applyFont="1" applyFill="1" applyBorder="1" applyAlignment="1">
      <alignment horizontal="center" vertical="center" wrapText="1"/>
    </xf>
    <xf numFmtId="0" fontId="0" fillId="0" borderId="0" xfId="0" applyAlignment="1">
      <alignment horizontal="left"/>
    </xf>
    <xf numFmtId="0" fontId="23" fillId="5" borderId="22" xfId="0" quotePrefix="1" applyFont="1" applyFill="1" applyBorder="1" applyAlignment="1">
      <alignment horizontal="left" vertical="center" wrapText="1"/>
    </xf>
    <xf numFmtId="0" fontId="10" fillId="0" borderId="10" xfId="0" applyFont="1" applyBorder="1" applyAlignment="1">
      <alignment horizontal="justify" vertical="center" wrapText="1"/>
    </xf>
    <xf numFmtId="0" fontId="10" fillId="0" borderId="31"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0" fontId="23" fillId="5" borderId="45" xfId="0" applyFont="1" applyFill="1" applyBorder="1" applyAlignment="1">
      <alignment horizontal="center" vertical="center"/>
    </xf>
    <xf numFmtId="171" fontId="24" fillId="0" borderId="6" xfId="0" applyNumberFormat="1" applyFont="1" applyBorder="1" applyAlignment="1">
      <alignment horizontal="center" vertical="center" wrapText="1"/>
    </xf>
    <xf numFmtId="167" fontId="25" fillId="0" borderId="59" xfId="0" applyNumberFormat="1" applyFont="1" applyBorder="1" applyAlignment="1">
      <alignment horizontal="center" vertical="center" wrapText="1"/>
    </xf>
    <xf numFmtId="167" fontId="23" fillId="2" borderId="39"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7"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3" fillId="0" borderId="0" xfId="0" applyFont="1" applyFill="1" applyBorder="1" applyAlignment="1">
      <alignment horizontal="left" vertical="center"/>
    </xf>
    <xf numFmtId="0" fontId="18" fillId="0" borderId="26" xfId="0" applyFont="1" applyBorder="1" applyAlignment="1">
      <alignment horizontal="left" vertical="center" wrapText="1"/>
    </xf>
    <xf numFmtId="0" fontId="18" fillId="0" borderId="12" xfId="0" applyFont="1" applyBorder="1" applyAlignment="1">
      <alignment horizontal="left" vertical="center" wrapText="1"/>
    </xf>
    <xf numFmtId="0" fontId="18" fillId="0" borderId="48" xfId="0" applyFont="1" applyBorder="1" applyAlignment="1">
      <alignment horizontal="left" vertical="center" wrapText="1"/>
    </xf>
    <xf numFmtId="0" fontId="11" fillId="0" borderId="46" xfId="0" applyFont="1" applyBorder="1" applyAlignment="1">
      <alignment horizontal="left" vertical="center"/>
    </xf>
    <xf numFmtId="0" fontId="11" fillId="0" borderId="46" xfId="0" applyFont="1" applyBorder="1" applyAlignment="1">
      <alignment horizontal="center" vertical="center"/>
    </xf>
    <xf numFmtId="0" fontId="18" fillId="0" borderId="0" xfId="0" applyFont="1" applyBorder="1" applyAlignment="1">
      <alignment vertical="center" wrapText="1"/>
    </xf>
    <xf numFmtId="10" fontId="11" fillId="0" borderId="13" xfId="0" applyNumberFormat="1" applyFont="1" applyBorder="1" applyAlignment="1">
      <alignment horizontal="right" vertical="center" wrapText="1"/>
    </xf>
    <xf numFmtId="164" fontId="18" fillId="0" borderId="0" xfId="0" applyNumberFormat="1" applyFont="1" applyBorder="1" applyAlignment="1">
      <alignment vertical="center" wrapText="1"/>
    </xf>
    <xf numFmtId="164" fontId="18" fillId="0" borderId="46" xfId="0" applyNumberFormat="1" applyFont="1" applyBorder="1" applyAlignment="1">
      <alignment vertical="center" wrapText="1"/>
    </xf>
    <xf numFmtId="0" fontId="11" fillId="0" borderId="47" xfId="0" applyFont="1" applyBorder="1" applyAlignment="1">
      <alignment horizontal="righ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3" fillId="0" borderId="0" xfId="0" applyNumberFormat="1" applyFont="1" applyFill="1" applyBorder="1" applyAlignment="1">
      <alignment horizontal="center" vertical="center"/>
    </xf>
    <xf numFmtId="0" fontId="73" fillId="0" borderId="0" xfId="0" applyFont="1" applyFill="1" applyBorder="1" applyAlignment="1">
      <alignment horizontal="center" vertical="center"/>
    </xf>
    <xf numFmtId="4" fontId="73"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5" xfId="0" quotePrefix="1" applyFont="1" applyFill="1" applyBorder="1" applyAlignment="1">
      <alignment horizontal="center" vertical="center"/>
    </xf>
    <xf numFmtId="0" fontId="18" fillId="36" borderId="26" xfId="0" quotePrefix="1" applyFont="1" applyFill="1" applyBorder="1" applyAlignment="1">
      <alignment horizontal="center" vertical="center"/>
    </xf>
    <xf numFmtId="0" fontId="7" fillId="36" borderId="22" xfId="0" quotePrefix="1" applyFont="1" applyFill="1" applyBorder="1" applyAlignment="1">
      <alignment horizontal="center" vertical="center"/>
    </xf>
    <xf numFmtId="0" fontId="18" fillId="36" borderId="79" xfId="0" applyFont="1" applyFill="1" applyBorder="1" applyAlignment="1">
      <alignment horizontal="left" vertical="center" wrapText="1"/>
    </xf>
    <xf numFmtId="0" fontId="11" fillId="36" borderId="22" xfId="0" quotePrefix="1" applyFont="1" applyFill="1" applyBorder="1" applyAlignment="1">
      <alignment horizontal="center" vertical="center"/>
    </xf>
    <xf numFmtId="4" fontId="7" fillId="36" borderId="41" xfId="0" applyNumberFormat="1" applyFont="1" applyFill="1" applyBorder="1" applyAlignment="1">
      <alignment horizontal="center" vertical="center" wrapText="1"/>
    </xf>
    <xf numFmtId="0" fontId="18" fillId="33" borderId="24" xfId="0" quotePrefix="1" applyFont="1" applyFill="1" applyBorder="1" applyAlignment="1">
      <alignment horizontal="center" vertical="center"/>
    </xf>
    <xf numFmtId="0" fontId="7" fillId="33" borderId="8" xfId="0" quotePrefix="1" applyFont="1" applyFill="1" applyBorder="1" applyAlignment="1">
      <alignment horizontal="center" vertical="center"/>
    </xf>
    <xf numFmtId="0" fontId="11" fillId="33" borderId="8" xfId="0" quotePrefix="1" applyFont="1" applyFill="1" applyBorder="1" applyAlignment="1">
      <alignment horizontal="center" vertical="center"/>
    </xf>
    <xf numFmtId="4" fontId="7" fillId="33" borderId="15"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7" fillId="5" borderId="20" xfId="0" quotePrefix="1" applyFont="1" applyFill="1" applyBorder="1" applyAlignment="1">
      <alignment horizontal="center" vertical="center"/>
    </xf>
    <xf numFmtId="0" fontId="11" fillId="6" borderId="6" xfId="0" quotePrefix="1" applyFont="1" applyFill="1" applyBorder="1" applyAlignment="1">
      <alignment horizontal="center" vertical="center" wrapText="1"/>
    </xf>
    <xf numFmtId="0" fontId="18" fillId="33" borderId="24" xfId="0" applyFont="1" applyFill="1" applyBorder="1" applyAlignment="1">
      <alignment horizontal="center" vertical="center"/>
    </xf>
    <xf numFmtId="4" fontId="11" fillId="0" borderId="9" xfId="0" applyNumberFormat="1" applyFont="1" applyBorder="1" applyAlignment="1">
      <alignment horizontal="right" vertical="center"/>
    </xf>
    <xf numFmtId="4" fontId="16" fillId="0" borderId="0" xfId="0" applyNumberFormat="1" applyFont="1" applyBorder="1" applyAlignment="1">
      <alignment horizontal="center" vertical="center"/>
    </xf>
    <xf numFmtId="2" fontId="0" fillId="0" borderId="0" xfId="0" applyNumberFormat="1" applyFont="1" applyBorder="1" applyAlignment="1">
      <alignment horizontal="lef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80" fillId="0" borderId="0" xfId="0" applyFont="1" applyAlignment="1">
      <alignment horizontal="center" vertical="center"/>
    </xf>
    <xf numFmtId="0" fontId="18" fillId="0" borderId="20" xfId="0" applyFont="1" applyBorder="1" applyAlignment="1">
      <alignment horizontal="center" vertical="center" wrapText="1"/>
    </xf>
    <xf numFmtId="0" fontId="18" fillId="0" borderId="45" xfId="0" applyFont="1" applyBorder="1" applyAlignment="1">
      <alignment horizontal="center" vertical="center"/>
    </xf>
    <xf numFmtId="0" fontId="18" fillId="0" borderId="27" xfId="0" applyFont="1" applyBorder="1" applyAlignment="1">
      <alignment horizontal="center" vertical="center" wrapText="1"/>
    </xf>
    <xf numFmtId="2" fontId="18" fillId="0" borderId="20" xfId="0" applyNumberFormat="1" applyFont="1" applyBorder="1" applyAlignment="1">
      <alignment horizontal="center" vertical="center" wrapText="1"/>
    </xf>
    <xf numFmtId="4" fontId="18" fillId="0" borderId="20" xfId="0" applyNumberFormat="1" applyFont="1" applyBorder="1" applyAlignment="1">
      <alignment horizontal="center" vertical="center" wrapText="1"/>
    </xf>
    <xf numFmtId="4" fontId="18" fillId="0" borderId="49" xfId="0" applyNumberFormat="1" applyFont="1" applyBorder="1" applyAlignment="1">
      <alignment horizontal="center" vertical="center" wrapText="1"/>
    </xf>
    <xf numFmtId="166" fontId="18" fillId="2" borderId="45" xfId="0" quotePrefix="1" applyNumberFormat="1" applyFont="1" applyFill="1" applyBorder="1" applyAlignment="1">
      <alignment horizontal="center" vertical="center"/>
    </xf>
    <xf numFmtId="0" fontId="18" fillId="2" borderId="20" xfId="0" quotePrefix="1" applyFont="1" applyFill="1" applyBorder="1" applyAlignment="1">
      <alignment horizontal="center" vertical="center"/>
    </xf>
    <xf numFmtId="0" fontId="18" fillId="2" borderId="20" xfId="0" applyFont="1" applyFill="1" applyBorder="1" applyAlignment="1">
      <alignment horizontal="left" vertical="center" wrapText="1"/>
    </xf>
    <xf numFmtId="0" fontId="18" fillId="2" borderId="20" xfId="0" applyFont="1" applyFill="1" applyBorder="1" applyAlignment="1">
      <alignment horizontal="center" vertical="center" wrapText="1"/>
    </xf>
    <xf numFmtId="2" fontId="18" fillId="2" borderId="20" xfId="0" applyNumberFormat="1" applyFont="1" applyFill="1" applyBorder="1" applyAlignment="1">
      <alignment horizontal="center" vertical="center" wrapText="1"/>
    </xf>
    <xf numFmtId="4" fontId="18" fillId="2" borderId="20" xfId="0" applyNumberFormat="1" applyFont="1" applyFill="1" applyBorder="1" applyAlignment="1">
      <alignment horizontal="center" vertical="center" wrapText="1"/>
    </xf>
    <xf numFmtId="4" fontId="18" fillId="2" borderId="49" xfId="0" applyNumberFormat="1" applyFont="1" applyFill="1" applyBorder="1" applyAlignment="1">
      <alignment horizontal="center" vertical="center" wrapText="1"/>
    </xf>
    <xf numFmtId="4" fontId="18" fillId="0" borderId="41" xfId="0" applyNumberFormat="1" applyFont="1" applyBorder="1" applyAlignment="1">
      <alignment horizontal="right" vertical="center"/>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9" fontId="10" fillId="0" borderId="6" xfId="0" applyNumberFormat="1" applyFont="1" applyBorder="1" applyAlignment="1">
      <alignment horizontal="center" vertical="center"/>
    </xf>
    <xf numFmtId="14" fontId="10" fillId="0" borderId="28" xfId="0" applyNumberFormat="1" applyFont="1" applyBorder="1" applyAlignment="1">
      <alignment horizontal="center" vertical="center"/>
    </xf>
    <xf numFmtId="4" fontId="73" fillId="0" borderId="0" xfId="0" applyNumberFormat="1" applyFont="1" applyFill="1" applyBorder="1" applyAlignment="1">
      <alignment horizontal="left" vertical="center"/>
    </xf>
    <xf numFmtId="167" fontId="18" fillId="5" borderId="20" xfId="0" applyNumberFormat="1" applyFont="1" applyFill="1" applyBorder="1" applyAlignment="1">
      <alignment horizontal="center" vertical="center"/>
    </xf>
    <xf numFmtId="0" fontId="16" fillId="0" borderId="24" xfId="0" applyFont="1" applyFill="1" applyBorder="1" applyAlignment="1">
      <alignment vertical="center"/>
    </xf>
    <xf numFmtId="0" fontId="22" fillId="0" borderId="6" xfId="0" applyFont="1" applyFill="1" applyBorder="1" applyAlignment="1">
      <alignment horizontal="justify" vertical="center" wrapText="1"/>
    </xf>
    <xf numFmtId="0" fontId="22" fillId="0" borderId="6" xfId="0" applyFont="1" applyFill="1" applyBorder="1" applyAlignment="1">
      <alignment horizontal="center" vertical="center" wrapText="1"/>
    </xf>
    <xf numFmtId="171" fontId="22"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67" fontId="22" fillId="0" borderId="1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xf>
    <xf numFmtId="167" fontId="24" fillId="0" borderId="16" xfId="0" applyNumberFormat="1" applyFont="1" applyFill="1" applyBorder="1" applyAlignment="1">
      <alignment horizontal="center" vertical="center" wrapText="1"/>
    </xf>
    <xf numFmtId="0" fontId="16" fillId="0" borderId="6" xfId="0" applyFont="1" applyFill="1" applyBorder="1" applyAlignment="1">
      <alignment horizontal="justify" vertical="center" wrapText="1"/>
    </xf>
    <xf numFmtId="171" fontId="16" fillId="0" borderId="6" xfId="0" applyNumberFormat="1" applyFont="1" applyFill="1" applyBorder="1" applyAlignment="1">
      <alignment horizontal="center" vertical="center" wrapText="1"/>
    </xf>
    <xf numFmtId="4" fontId="18" fillId="0" borderId="6" xfId="0" applyNumberFormat="1" applyFont="1" applyFill="1" applyBorder="1" applyAlignment="1">
      <alignment horizontal="right" vertical="center"/>
    </xf>
    <xf numFmtId="167" fontId="22" fillId="0" borderId="35" xfId="0" applyNumberFormat="1" applyFont="1" applyFill="1" applyBorder="1" applyAlignment="1">
      <alignment horizontal="center" vertical="center" wrapText="1"/>
    </xf>
    <xf numFmtId="0" fontId="10" fillId="0" borderId="24" xfId="0" quotePrefix="1" applyFont="1" applyFill="1" applyBorder="1" applyAlignment="1">
      <alignment horizontal="center" vertical="center"/>
    </xf>
    <xf numFmtId="0" fontId="10" fillId="0" borderId="6" xfId="0" quotePrefix="1" applyFont="1" applyFill="1" applyBorder="1" applyAlignment="1">
      <alignment horizontal="center" vertical="center"/>
    </xf>
    <xf numFmtId="0" fontId="26" fillId="0" borderId="6" xfId="0" applyFont="1" applyFill="1" applyBorder="1" applyAlignment="1">
      <alignment wrapText="1"/>
    </xf>
    <xf numFmtId="2" fontId="16" fillId="0" borderId="6" xfId="0" applyNumberFormat="1" applyFont="1" applyFill="1" applyBorder="1" applyAlignment="1">
      <alignment horizontal="center" vertical="center"/>
    </xf>
    <xf numFmtId="0" fontId="11" fillId="0" borderId="18" xfId="3" applyFont="1" applyFill="1" applyBorder="1" applyAlignment="1">
      <alignment horizontal="center" vertical="center"/>
    </xf>
    <xf numFmtId="167" fontId="18" fillId="0" borderId="44" xfId="3" applyNumberFormat="1" applyFont="1" applyFill="1" applyBorder="1" applyAlignment="1">
      <alignment horizontal="center" vertical="center" wrapText="1"/>
    </xf>
    <xf numFmtId="0" fontId="0" fillId="0" borderId="56" xfId="0" applyBorder="1" applyAlignment="1">
      <alignment horizontal="center" vertical="center" wrapText="1"/>
    </xf>
    <xf numFmtId="0" fontId="0" fillId="0" borderId="0" xfId="0" applyFill="1" applyAlignment="1">
      <alignment horizontal="center" vertical="center" wrapText="1"/>
    </xf>
    <xf numFmtId="0" fontId="73" fillId="0" borderId="0" xfId="0" applyFont="1" applyAlignment="1">
      <alignment horizontal="left" vertical="center"/>
    </xf>
    <xf numFmtId="0" fontId="81"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4" fontId="18" fillId="0" borderId="6" xfId="0" applyNumberFormat="1" applyFont="1" applyBorder="1" applyAlignment="1">
      <alignment horizontal="right" vertical="center"/>
    </xf>
    <xf numFmtId="168" fontId="18" fillId="0" borderId="13" xfId="0" applyNumberFormat="1" applyFont="1" applyBorder="1" applyAlignment="1">
      <alignment horizontal="right" vertical="center"/>
    </xf>
    <xf numFmtId="0" fontId="18" fillId="0" borderId="26" xfId="0" applyFont="1" applyBorder="1" applyAlignment="1">
      <alignment horizontal="left" vertical="center"/>
    </xf>
    <xf numFmtId="0" fontId="18" fillId="0" borderId="34" xfId="0" applyFont="1" applyBorder="1" applyAlignment="1">
      <alignment horizontal="center" vertical="center" wrapText="1"/>
    </xf>
    <xf numFmtId="0" fontId="18" fillId="0" borderId="28" xfId="0" applyFont="1" applyBorder="1" applyAlignment="1">
      <alignment vertical="center" wrapText="1"/>
    </xf>
    <xf numFmtId="0" fontId="18" fillId="0" borderId="24" xfId="0" applyFont="1" applyBorder="1" applyAlignment="1">
      <alignment vertical="center" wrapText="1"/>
    </xf>
    <xf numFmtId="0" fontId="11" fillId="0" borderId="74" xfId="0" applyFont="1" applyBorder="1" applyAlignment="1">
      <alignment vertical="center" wrapText="1"/>
    </xf>
    <xf numFmtId="0" fontId="7" fillId="0" borderId="31" xfId="0" applyFont="1" applyBorder="1" applyAlignment="1">
      <alignment horizontal="center" vertical="center" wrapText="1"/>
    </xf>
    <xf numFmtId="4" fontId="7" fillId="0" borderId="8" xfId="1" applyNumberFormat="1" applyFont="1" applyBorder="1" applyAlignment="1">
      <alignment horizontal="center" vertical="center" wrapText="1"/>
    </xf>
    <xf numFmtId="4" fontId="7" fillId="0" borderId="15" xfId="1" applyNumberFormat="1" applyFont="1" applyBorder="1" applyAlignment="1">
      <alignment horizontal="center" vertical="center" wrapText="1"/>
    </xf>
    <xf numFmtId="2" fontId="73" fillId="0" borderId="0" xfId="0" applyNumberFormat="1" applyFont="1" applyFill="1" applyBorder="1" applyAlignment="1">
      <alignment horizontal="left" vertical="center" wrapText="1"/>
    </xf>
    <xf numFmtId="2" fontId="68"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0" fillId="0" borderId="76" xfId="0" applyBorder="1" applyAlignment="1">
      <alignment horizontal="center" wrapText="1"/>
    </xf>
    <xf numFmtId="0" fontId="0" fillId="0" borderId="77" xfId="0" applyBorder="1" applyAlignment="1">
      <alignment horizontal="center" wrapText="1"/>
    </xf>
    <xf numFmtId="0" fontId="0" fillId="0" borderId="78" xfId="0" applyBorder="1" applyAlignment="1">
      <alignment horizontal="center" wrapText="1"/>
    </xf>
    <xf numFmtId="0" fontId="0" fillId="0" borderId="12" xfId="0" applyBorder="1" applyAlignment="1">
      <alignment horizontal="center"/>
    </xf>
    <xf numFmtId="0" fontId="0" fillId="0" borderId="48" xfId="0" applyBorder="1" applyAlignment="1">
      <alignment horizontal="center"/>
    </xf>
    <xf numFmtId="0" fontId="17" fillId="0" borderId="0" xfId="0" applyFont="1" applyFill="1" applyBorder="1" applyAlignment="1"/>
    <xf numFmtId="0" fontId="68" fillId="39" borderId="49" xfId="0" applyFont="1" applyFill="1" applyBorder="1" applyAlignment="1">
      <alignment horizontal="center" vertical="center"/>
    </xf>
    <xf numFmtId="0" fontId="0" fillId="0" borderId="31" xfId="0" applyBorder="1" applyAlignment="1">
      <alignment horizontal="left" vertical="center" wrapText="1"/>
    </xf>
    <xf numFmtId="2" fontId="73" fillId="0" borderId="82" xfId="0" applyNumberFormat="1" applyFont="1" applyFill="1" applyBorder="1" applyAlignment="1">
      <alignment horizontal="center" vertical="center"/>
    </xf>
    <xf numFmtId="0" fontId="68" fillId="0" borderId="86" xfId="0" applyFont="1" applyBorder="1" applyAlignment="1">
      <alignment horizontal="center" vertical="center"/>
    </xf>
    <xf numFmtId="0" fontId="0" fillId="0" borderId="24" xfId="0" applyBorder="1" applyAlignment="1">
      <alignment horizontal="left" vertical="center" wrapText="1"/>
    </xf>
    <xf numFmtId="2" fontId="73" fillId="0" borderId="7" xfId="0" applyNumberFormat="1" applyFont="1" applyFill="1" applyBorder="1" applyAlignment="1">
      <alignment horizontal="center" vertical="center"/>
    </xf>
    <xf numFmtId="0" fontId="68" fillId="0" borderId="87" xfId="0" applyFont="1" applyBorder="1" applyAlignment="1">
      <alignment horizontal="center" vertical="center"/>
    </xf>
    <xf numFmtId="0" fontId="0" fillId="0" borderId="23" xfId="0" applyBorder="1" applyAlignment="1">
      <alignment horizontal="left" vertical="center" wrapText="1"/>
    </xf>
    <xf numFmtId="2" fontId="73" fillId="0" borderId="40" xfId="0" applyNumberFormat="1" applyFont="1" applyFill="1" applyBorder="1" applyAlignment="1">
      <alignment horizontal="center" vertical="center"/>
    </xf>
    <xf numFmtId="0" fontId="68" fillId="0" borderId="88" xfId="0" applyFont="1" applyBorder="1" applyAlignment="1">
      <alignment horizontal="center" vertical="center"/>
    </xf>
    <xf numFmtId="0" fontId="68" fillId="39" borderId="75" xfId="0" applyFont="1" applyFill="1" applyBorder="1" applyAlignment="1">
      <alignment horizontal="center" vertical="center"/>
    </xf>
    <xf numFmtId="0" fontId="0" fillId="0" borderId="24" xfId="0" applyBorder="1" applyAlignment="1">
      <alignment horizontal="left" vertical="center"/>
    </xf>
    <xf numFmtId="0" fontId="68" fillId="0" borderId="89" xfId="0" applyFont="1" applyBorder="1" applyAlignment="1">
      <alignment horizontal="center" vertical="center"/>
    </xf>
    <xf numFmtId="0" fontId="0" fillId="0" borderId="23" xfId="0" applyBorder="1" applyAlignment="1">
      <alignment horizontal="left" vertical="center"/>
    </xf>
    <xf numFmtId="0" fontId="0" fillId="0" borderId="52" xfId="0" applyBorder="1" applyAlignment="1">
      <alignment horizontal="left" vertical="center"/>
    </xf>
    <xf numFmtId="0" fontId="0" fillId="0" borderId="25" xfId="0" applyBorder="1" applyAlignment="1">
      <alignment horizontal="left" vertical="center"/>
    </xf>
    <xf numFmtId="0" fontId="0" fillId="0" borderId="74" xfId="0" applyBorder="1" applyAlignment="1">
      <alignment horizontal="left" vertical="center"/>
    </xf>
    <xf numFmtId="0" fontId="68" fillId="39" borderId="41" xfId="0" applyFont="1" applyFill="1" applyBorder="1" applyAlignment="1">
      <alignment horizontal="center" vertical="center"/>
    </xf>
    <xf numFmtId="2" fontId="73" fillId="0" borderId="41" xfId="0" applyNumberFormat="1" applyFont="1" applyFill="1" applyBorder="1" applyAlignment="1">
      <alignment horizontal="center" vertical="center"/>
    </xf>
    <xf numFmtId="2" fontId="73" fillId="0" borderId="16" xfId="0" applyNumberFormat="1" applyFont="1" applyFill="1" applyBorder="1" applyAlignment="1">
      <alignment horizontal="center" vertical="center"/>
    </xf>
    <xf numFmtId="2" fontId="73" fillId="0" borderId="19" xfId="0" applyNumberFormat="1" applyFont="1" applyFill="1" applyBorder="1" applyAlignment="1">
      <alignment horizontal="center" vertical="center"/>
    </xf>
    <xf numFmtId="0" fontId="73" fillId="0" borderId="35" xfId="0" applyFont="1" applyFill="1" applyBorder="1" applyAlignment="1">
      <alignment horizontal="center" vertical="center"/>
    </xf>
    <xf numFmtId="0" fontId="73" fillId="0" borderId="19" xfId="0" applyFont="1" applyFill="1" applyBorder="1" applyAlignment="1">
      <alignment horizontal="center" vertical="center"/>
    </xf>
    <xf numFmtId="0" fontId="0" fillId="0" borderId="52" xfId="0" applyBorder="1" applyAlignment="1">
      <alignment horizontal="left" vertical="center" wrapText="1"/>
    </xf>
    <xf numFmtId="0" fontId="68" fillId="39" borderId="76" xfId="0" applyFont="1" applyFill="1" applyBorder="1" applyAlignment="1">
      <alignment horizontal="center" vertical="center"/>
    </xf>
    <xf numFmtId="176" fontId="73" fillId="0" borderId="16" xfId="0" applyNumberFormat="1" applyFont="1" applyFill="1" applyBorder="1" applyAlignment="1">
      <alignment horizontal="center" vertical="center"/>
    </xf>
    <xf numFmtId="0" fontId="29" fillId="0" borderId="0" xfId="0" applyFont="1"/>
    <xf numFmtId="0" fontId="27" fillId="0" borderId="0" xfId="0" applyFont="1" applyBorder="1" applyAlignment="1">
      <alignment horizontal="center" vertical="center"/>
    </xf>
    <xf numFmtId="0" fontId="87" fillId="0" borderId="6" xfId="0" applyFont="1" applyBorder="1" applyAlignment="1">
      <alignment horizontal="left" vertical="center" wrapText="1"/>
    </xf>
    <xf numFmtId="0" fontId="88" fillId="0" borderId="6" xfId="0" applyFont="1" applyBorder="1"/>
    <xf numFmtId="0" fontId="78" fillId="5" borderId="22" xfId="0" applyFont="1" applyFill="1" applyBorder="1" applyAlignment="1">
      <alignment horizontal="left" vertical="center" wrapText="1"/>
    </xf>
    <xf numFmtId="171" fontId="10" fillId="0" borderId="6" xfId="0" applyNumberFormat="1" applyFont="1" applyFill="1" applyBorder="1" applyAlignment="1">
      <alignment horizontal="center" vertical="center"/>
    </xf>
    <xf numFmtId="0" fontId="88" fillId="0" borderId="0" xfId="0" applyFont="1" applyBorder="1"/>
    <xf numFmtId="0" fontId="22" fillId="0" borderId="6" xfId="0" applyFont="1" applyBorder="1" applyAlignment="1">
      <alignment horizontal="left" vertical="center"/>
    </xf>
    <xf numFmtId="0" fontId="10" fillId="0" borderId="6" xfId="0" applyFont="1" applyBorder="1"/>
    <xf numFmtId="172" fontId="24" fillId="0" borderId="16" xfId="0" applyNumberFormat="1" applyFont="1" applyFill="1" applyBorder="1" applyAlignment="1">
      <alignment horizontal="center" vertical="center" wrapText="1"/>
    </xf>
    <xf numFmtId="0" fontId="79" fillId="0" borderId="6" xfId="0" applyFont="1" applyBorder="1"/>
    <xf numFmtId="0" fontId="79" fillId="0" borderId="6" xfId="0" applyFont="1" applyBorder="1" applyAlignment="1">
      <alignment horizontal="left" vertical="center" wrapText="1"/>
    </xf>
    <xf numFmtId="2" fontId="63" fillId="0" borderId="0" xfId="0" applyNumberFormat="1" applyFont="1" applyFill="1" applyBorder="1" applyAlignment="1">
      <alignment horizontal="right" vertical="center"/>
    </xf>
    <xf numFmtId="2" fontId="71" fillId="0" borderId="0" xfId="0" applyNumberFormat="1" applyFont="1" applyFill="1" applyBorder="1" applyAlignment="1">
      <alignment horizontal="left" vertical="center"/>
    </xf>
    <xf numFmtId="14" fontId="73" fillId="0" borderId="28"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1" fillId="0" borderId="18" xfId="0" quotePrefix="1" applyFont="1" applyBorder="1" applyAlignment="1">
      <alignment horizontal="center" vertical="center"/>
    </xf>
    <xf numFmtId="0" fontId="18" fillId="32" borderId="24" xfId="0" applyFont="1" applyFill="1" applyBorder="1" applyAlignment="1">
      <alignment horizontal="center" vertical="center"/>
    </xf>
    <xf numFmtId="4" fontId="11" fillId="32" borderId="6" xfId="0" applyNumberFormat="1" applyFont="1" applyFill="1" applyBorder="1" applyAlignment="1">
      <alignment horizontal="right" vertical="center"/>
    </xf>
    <xf numFmtId="0" fontId="9" fillId="0" borderId="60" xfId="0" quotePrefix="1" applyFont="1" applyFill="1" applyBorder="1" applyAlignment="1">
      <alignment horizontal="center" vertical="center" wrapText="1"/>
    </xf>
    <xf numFmtId="166" fontId="7" fillId="2" borderId="21" xfId="0" quotePrefix="1" applyNumberFormat="1" applyFont="1" applyFill="1" applyBorder="1" applyAlignment="1">
      <alignment horizontal="center" vertical="center"/>
    </xf>
    <xf numFmtId="0" fontId="34" fillId="5" borderId="22" xfId="0" applyFont="1" applyFill="1" applyBorder="1" applyAlignment="1">
      <alignment horizontal="left" vertical="center" wrapText="1"/>
    </xf>
    <xf numFmtId="0" fontId="30" fillId="2" borderId="22"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0" fontId="87"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4" xfId="0" quotePrefix="1" applyNumberFormat="1" applyFont="1" applyFill="1" applyBorder="1" applyAlignment="1">
      <alignment horizontal="center" vertical="center"/>
    </xf>
    <xf numFmtId="166" fontId="11" fillId="0" borderId="23" xfId="0" quotePrefix="1" applyNumberFormat="1" applyFont="1" applyFill="1" applyBorder="1" applyAlignment="1">
      <alignment horizontal="center" vertical="center"/>
    </xf>
    <xf numFmtId="0" fontId="11" fillId="0" borderId="14" xfId="0" quotePrefix="1"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70" fillId="0" borderId="0" xfId="0" applyFont="1" applyBorder="1" applyAlignment="1">
      <alignment horizontal="justify" vertical="center" wrapText="1"/>
    </xf>
    <xf numFmtId="0" fontId="11" fillId="6" borderId="9" xfId="0" quotePrefix="1" applyFont="1" applyFill="1" applyBorder="1" applyAlignment="1">
      <alignment horizontal="center" vertical="center" wrapText="1"/>
    </xf>
    <xf numFmtId="2" fontId="63" fillId="0" borderId="0" xfId="0" applyNumberFormat="1" applyFont="1" applyFill="1" applyBorder="1" applyAlignment="1">
      <alignment horizontal="left" vertical="center"/>
    </xf>
    <xf numFmtId="0" fontId="70" fillId="5" borderId="22" xfId="0" applyFont="1" applyFill="1" applyBorder="1" applyAlignment="1">
      <alignment horizontal="center" vertical="center"/>
    </xf>
    <xf numFmtId="167" fontId="19" fillId="2" borderId="34" xfId="0" applyNumberFormat="1" applyFont="1" applyFill="1" applyBorder="1" applyAlignment="1">
      <alignment vertical="center"/>
    </xf>
    <xf numFmtId="167" fontId="19" fillId="2" borderId="20" xfId="0" applyNumberFormat="1" applyFont="1" applyFill="1" applyBorder="1" applyAlignment="1">
      <alignment vertical="center"/>
    </xf>
    <xf numFmtId="167" fontId="19" fillId="2" borderId="49" xfId="0" applyNumberFormat="1" applyFont="1" applyFill="1" applyBorder="1" applyAlignment="1">
      <alignment horizontal="center" vertical="center"/>
    </xf>
    <xf numFmtId="0" fontId="70" fillId="4" borderId="31" xfId="0" applyFont="1" applyFill="1" applyBorder="1" applyAlignment="1">
      <alignment vertical="center"/>
    </xf>
    <xf numFmtId="0" fontId="70" fillId="0" borderId="8" xfId="0" applyFont="1" applyBorder="1" applyAlignment="1">
      <alignment horizontal="center" vertical="center" wrapText="1"/>
    </xf>
    <xf numFmtId="171" fontId="70" fillId="0" borderId="8" xfId="0" applyNumberFormat="1" applyFont="1" applyBorder="1" applyAlignment="1">
      <alignment horizontal="center" vertical="center" wrapText="1"/>
    </xf>
    <xf numFmtId="167" fontId="70" fillId="0" borderId="8" xfId="0" applyNumberFormat="1" applyFont="1" applyBorder="1" applyAlignment="1">
      <alignment horizontal="center" vertical="center" wrapText="1"/>
    </xf>
    <xf numFmtId="167" fontId="70" fillId="0" borderId="15" xfId="0" applyNumberFormat="1" applyFont="1" applyBorder="1" applyAlignment="1">
      <alignment horizontal="center" vertical="center" wrapText="1"/>
    </xf>
    <xf numFmtId="0" fontId="61" fillId="0" borderId="0" xfId="0" applyFont="1" applyBorder="1" applyAlignment="1">
      <alignment horizontal="center"/>
    </xf>
    <xf numFmtId="0" fontId="10" fillId="6" borderId="24" xfId="55" applyNumberFormat="1" applyFont="1" applyFill="1" applyBorder="1" applyAlignment="1">
      <alignment horizontal="center" vertical="center" wrapText="1"/>
    </xf>
    <xf numFmtId="0" fontId="0" fillId="0" borderId="31" xfId="0" applyBorder="1" applyAlignment="1">
      <alignment horizontal="left" vertical="center"/>
    </xf>
    <xf numFmtId="0" fontId="73" fillId="0" borderId="64" xfId="0" applyFont="1" applyFill="1" applyBorder="1" applyAlignment="1">
      <alignment horizontal="center" vertical="center"/>
    </xf>
    <xf numFmtId="0" fontId="10" fillId="0" borderId="0" xfId="0" quotePrefix="1" applyFont="1" applyBorder="1" applyAlignment="1">
      <alignment horizontal="center" vertical="center"/>
    </xf>
    <xf numFmtId="0" fontId="79" fillId="0" borderId="6" xfId="0" applyFont="1" applyBorder="1" applyAlignment="1">
      <alignment horizontal="left" vertical="center"/>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166" fontId="18" fillId="2" borderId="26" xfId="0" quotePrefix="1" applyNumberFormat="1" applyFont="1" applyFill="1" applyBorder="1" applyAlignment="1">
      <alignment horizontal="center" vertical="center"/>
    </xf>
    <xf numFmtId="0" fontId="18" fillId="32" borderId="25" xfId="0" applyFont="1" applyFill="1" applyBorder="1" applyAlignment="1">
      <alignment horizontal="center" vertical="center"/>
    </xf>
    <xf numFmtId="0" fontId="9" fillId="0" borderId="8" xfId="0" quotePrefix="1" applyFont="1" applyFill="1" applyBorder="1" applyAlignment="1">
      <alignment horizontal="center" vertical="center" wrapText="1"/>
    </xf>
    <xf numFmtId="0" fontId="65" fillId="2" borderId="22" xfId="0" quotePrefix="1" applyFont="1" applyFill="1" applyBorder="1" applyAlignment="1">
      <alignment horizontal="center" vertical="center"/>
    </xf>
    <xf numFmtId="0" fontId="11" fillId="0" borderId="12" xfId="0" quotePrefix="1" applyFont="1" applyBorder="1" applyAlignment="1">
      <alignment horizontal="center" vertical="center"/>
    </xf>
    <xf numFmtId="0" fontId="16" fillId="0" borderId="0" xfId="0" applyFont="1" applyAlignment="1">
      <alignment horizontal="left" vertical="center"/>
    </xf>
    <xf numFmtId="0" fontId="11" fillId="0" borderId="6" xfId="0" quotePrefix="1" applyFont="1" applyBorder="1" applyAlignment="1">
      <alignment horizontal="left" vertical="center"/>
    </xf>
    <xf numFmtId="0" fontId="25" fillId="0" borderId="0" xfId="0" applyFont="1" applyBorder="1" applyAlignment="1">
      <alignment horizontal="right" vertical="center"/>
    </xf>
    <xf numFmtId="0" fontId="89" fillId="0" borderId="0" xfId="0" applyFont="1"/>
    <xf numFmtId="0" fontId="36" fillId="0" borderId="0" xfId="0" applyFont="1" applyAlignment="1">
      <alignment horizontal="left" vertical="center" wrapText="1"/>
    </xf>
    <xf numFmtId="0" fontId="11" fillId="0" borderId="0" xfId="0" applyFont="1" applyBorder="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2" xfId="0" applyFont="1" applyBorder="1"/>
    <xf numFmtId="0" fontId="25" fillId="0" borderId="0" xfId="0" applyFont="1" applyBorder="1" applyAlignment="1">
      <alignment horizontal="righ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6" xfId="0" applyFont="1" applyFill="1" applyBorder="1" applyAlignment="1">
      <alignment horizontal="center" vertical="center" wrapText="1"/>
    </xf>
    <xf numFmtId="0" fontId="10" fillId="0" borderId="6" xfId="0" applyFont="1" applyBorder="1" applyAlignment="1">
      <alignment horizontal="left" vertical="center"/>
    </xf>
    <xf numFmtId="0" fontId="10" fillId="0" borderId="55" xfId="0" applyFont="1" applyFill="1" applyBorder="1" applyAlignment="1">
      <alignment vertical="center" wrapText="1"/>
    </xf>
    <xf numFmtId="0" fontId="10" fillId="0" borderId="43" xfId="0" applyFont="1" applyFill="1" applyBorder="1" applyAlignment="1">
      <alignment vertical="center" wrapText="1"/>
    </xf>
    <xf numFmtId="0" fontId="10" fillId="0" borderId="56" xfId="0" applyFont="1" applyFill="1" applyBorder="1" applyAlignment="1">
      <alignment vertical="center" wrapText="1"/>
    </xf>
    <xf numFmtId="167" fontId="18" fillId="2" borderId="22" xfId="0" applyNumberFormat="1" applyFont="1" applyFill="1" applyBorder="1" applyAlignment="1">
      <alignment horizontal="center" vertical="center"/>
    </xf>
    <xf numFmtId="0" fontId="18" fillId="5" borderId="22" xfId="3" applyFont="1" applyFill="1" applyBorder="1" applyAlignment="1">
      <alignment vertical="center"/>
    </xf>
    <xf numFmtId="0" fontId="18" fillId="5" borderId="22" xfId="3" applyFont="1" applyFill="1" applyBorder="1" applyAlignment="1">
      <alignment horizontal="right" vertical="center"/>
    </xf>
    <xf numFmtId="2" fontId="18" fillId="5" borderId="41" xfId="3" applyNumberFormat="1" applyFont="1" applyFill="1" applyBorder="1" applyAlignment="1">
      <alignment vertical="center"/>
    </xf>
    <xf numFmtId="0" fontId="24" fillId="0" borderId="6"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23" fillId="5" borderId="22"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1" fillId="0" borderId="10"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4" xfId="5" applyFont="1" applyBorder="1" applyAlignment="1">
      <alignment horizontal="center" vertical="center" wrapText="1"/>
    </xf>
    <xf numFmtId="2" fontId="16" fillId="0" borderId="0" xfId="0" applyNumberFormat="1" applyFont="1" applyFill="1" applyBorder="1"/>
    <xf numFmtId="2" fontId="11" fillId="0" borderId="0" xfId="0" applyNumberFormat="1" applyFont="1" applyFill="1" applyBorder="1" applyAlignment="1">
      <alignment horizontal="left" vertical="center"/>
    </xf>
    <xf numFmtId="0" fontId="11" fillId="0" borderId="0" xfId="0" applyFont="1" applyBorder="1" applyAlignment="1">
      <alignment vertical="center" wrapText="1"/>
    </xf>
    <xf numFmtId="0" fontId="22" fillId="0" borderId="0" xfId="0" applyFont="1" applyAlignment="1">
      <alignment horizontal="left" vertical="center"/>
    </xf>
    <xf numFmtId="0" fontId="89" fillId="0" borderId="0" xfId="0" applyFont="1" applyBorder="1" applyAlignment="1">
      <alignment vertical="center"/>
    </xf>
    <xf numFmtId="0" fontId="89" fillId="0" borderId="0" xfId="0" applyFont="1" applyAlignment="1">
      <alignment horizontal="left" vertical="center"/>
    </xf>
    <xf numFmtId="0" fontId="23" fillId="0" borderId="0" xfId="0" applyFont="1" applyFill="1" applyBorder="1" applyAlignment="1">
      <alignment horizontal="center" vertical="center"/>
    </xf>
    <xf numFmtId="0" fontId="24" fillId="0" borderId="0" xfId="0" applyFont="1" applyFill="1" applyAlignment="1">
      <alignment horizontal="center" vertical="center" wrapText="1"/>
    </xf>
    <xf numFmtId="0" fontId="11" fillId="0" borderId="7" xfId="0" quotePrefix="1" applyFont="1" applyBorder="1" applyAlignment="1">
      <alignment horizontal="center"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0" fillId="0" borderId="0" xfId="0" applyFill="1" applyBorder="1" applyAlignment="1">
      <alignment wrapText="1"/>
    </xf>
    <xf numFmtId="0" fontId="24" fillId="0" borderId="0" xfId="0" applyFont="1" applyFill="1" applyBorder="1" applyAlignment="1">
      <alignment horizontal="right" vertical="center" wrapText="1"/>
    </xf>
    <xf numFmtId="0" fontId="0" fillId="0" borderId="0" xfId="0" applyFill="1" applyBorder="1" applyAlignment="1">
      <alignment horizontal="left" vertical="center" wrapText="1"/>
    </xf>
    <xf numFmtId="0" fontId="24" fillId="0" borderId="8" xfId="0" applyFont="1" applyBorder="1" applyAlignment="1">
      <alignment horizontal="left" vertical="center" wrapText="1"/>
    </xf>
    <xf numFmtId="0" fontId="79" fillId="0" borderId="6" xfId="0" applyFont="1" applyFill="1" applyBorder="1" applyAlignment="1">
      <alignment horizontal="left" vertical="center" wrapText="1"/>
    </xf>
    <xf numFmtId="0" fontId="10" fillId="0" borderId="25" xfId="0" applyFont="1" applyBorder="1" applyAlignment="1">
      <alignment horizontal="center" vertical="center" wrapText="1"/>
    </xf>
    <xf numFmtId="0" fontId="69" fillId="0" borderId="0" xfId="0" applyFont="1" applyFill="1" applyBorder="1" applyAlignment="1">
      <alignment horizontal="right" vertical="center" wrapText="1"/>
    </xf>
    <xf numFmtId="0" fontId="29" fillId="0" borderId="0" xfId="0" applyFont="1" applyFill="1" applyBorder="1" applyAlignment="1">
      <alignment horizontal="left" vertical="center" wrapText="1"/>
    </xf>
    <xf numFmtId="0" fontId="24" fillId="3" borderId="13" xfId="0" applyFont="1" applyFill="1" applyBorder="1" applyAlignment="1">
      <alignment horizontal="right"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20" xfId="0" applyFont="1" applyFill="1" applyBorder="1" applyAlignment="1">
      <alignment vertical="center" wrapText="1"/>
    </xf>
    <xf numFmtId="167" fontId="11" fillId="2" borderId="20" xfId="0" applyNumberFormat="1" applyFont="1" applyFill="1" applyBorder="1" applyAlignment="1">
      <alignment vertical="center"/>
    </xf>
    <xf numFmtId="167" fontId="11" fillId="2" borderId="49" xfId="0" applyNumberFormat="1" applyFont="1" applyFill="1" applyBorder="1" applyAlignment="1">
      <alignment horizontal="center" vertical="center"/>
    </xf>
    <xf numFmtId="0" fontId="0" fillId="0" borderId="0" xfId="0" applyAlignment="1">
      <alignment horizontal="left" vertical="center"/>
    </xf>
    <xf numFmtId="0" fontId="36" fillId="0" borderId="0" xfId="0" applyFont="1" applyAlignment="1">
      <alignment horizontal="left" vertical="center"/>
    </xf>
    <xf numFmtId="2" fontId="61" fillId="0" borderId="0" xfId="0" applyNumberFormat="1" applyFont="1" applyBorder="1" applyAlignment="1">
      <alignment horizontal="center" vertical="center"/>
    </xf>
    <xf numFmtId="0" fontId="10" fillId="0" borderId="6" xfId="0" quotePrefix="1" applyFont="1" applyBorder="1" applyAlignment="1">
      <alignment horizontal="left" vertical="center" wrapText="1"/>
    </xf>
    <xf numFmtId="2" fontId="24" fillId="0" borderId="0" xfId="0" applyNumberFormat="1" applyFont="1" applyAlignment="1">
      <alignment horizontal="center" vertical="center"/>
    </xf>
    <xf numFmtId="0" fontId="18" fillId="5" borderId="22" xfId="3" applyFont="1" applyFill="1" applyBorder="1" applyAlignment="1">
      <alignment horizontal="center" vertical="center"/>
    </xf>
    <xf numFmtId="0" fontId="67" fillId="0" borderId="0" xfId="0" applyFont="1" applyAlignment="1">
      <alignment horizontal="left" vertical="center"/>
    </xf>
    <xf numFmtId="4" fontId="11" fillId="3" borderId="8"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16" fillId="0" borderId="0" xfId="0" applyFont="1" applyBorder="1" applyAlignment="1">
      <alignment horizontal="center" vertical="center"/>
    </xf>
    <xf numFmtId="2" fontId="61" fillId="0" borderId="0" xfId="1" applyNumberFormat="1" applyFont="1" applyFill="1" applyBorder="1" applyAlignment="1" applyProtection="1">
      <alignment horizontal="center" vertical="center"/>
    </xf>
    <xf numFmtId="2" fontId="61"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6" xfId="0" applyNumberFormat="1" applyFont="1" applyBorder="1" applyAlignment="1">
      <alignment horizontal="center" vertical="center" wrapText="1"/>
    </xf>
    <xf numFmtId="164" fontId="10" fillId="0" borderId="6" xfId="0" quotePrefix="1" applyNumberFormat="1" applyFont="1" applyBorder="1" applyAlignment="1">
      <alignment horizontal="center" vertical="center" wrapText="1"/>
    </xf>
    <xf numFmtId="0" fontId="23" fillId="0" borderId="6" xfId="0" applyFont="1" applyBorder="1" applyAlignment="1">
      <alignment horizontal="right" vertical="center" wrapText="1"/>
    </xf>
    <xf numFmtId="167" fontId="10" fillId="0" borderId="6" xfId="0" applyNumberFormat="1" applyFont="1" applyBorder="1" applyAlignment="1">
      <alignment vertical="center"/>
    </xf>
    <xf numFmtId="0" fontId="23" fillId="4" borderId="31" xfId="0" quotePrefix="1" applyFont="1" applyFill="1" applyBorder="1" applyAlignment="1">
      <alignment vertical="center"/>
    </xf>
    <xf numFmtId="0" fontId="23" fillId="0" borderId="0" xfId="0" applyFont="1" applyBorder="1" applyAlignment="1">
      <alignment horizontal="justify" vertical="center" wrapText="1"/>
    </xf>
    <xf numFmtId="0" fontId="23" fillId="0" borderId="8" xfId="0" applyFont="1" applyBorder="1" applyAlignment="1">
      <alignment horizontal="center" vertical="center" wrapText="1"/>
    </xf>
    <xf numFmtId="171" fontId="23" fillId="0" borderId="8" xfId="0" applyNumberFormat="1" applyFont="1" applyBorder="1" applyAlignment="1">
      <alignment horizontal="center" vertical="center" wrapText="1"/>
    </xf>
    <xf numFmtId="167" fontId="23" fillId="0" borderId="8" xfId="0" applyNumberFormat="1" applyFont="1" applyBorder="1" applyAlignment="1">
      <alignment horizontal="center" vertical="center" wrapText="1"/>
    </xf>
    <xf numFmtId="167" fontId="23" fillId="0" borderId="15" xfId="0" applyNumberFormat="1" applyFont="1" applyBorder="1" applyAlignment="1">
      <alignment horizontal="center" vertical="center" wrapText="1"/>
    </xf>
    <xf numFmtId="0" fontId="10" fillId="2" borderId="23" xfId="0" applyFont="1" applyFill="1" applyBorder="1" applyAlignment="1">
      <alignment horizontal="center" vertical="center"/>
    </xf>
    <xf numFmtId="167" fontId="23" fillId="2" borderId="19" xfId="0" applyNumberFormat="1" applyFont="1" applyFill="1" applyBorder="1" applyAlignment="1">
      <alignment horizontal="center" vertical="center" wrapText="1"/>
    </xf>
    <xf numFmtId="0" fontId="23" fillId="2" borderId="20" xfId="0" applyFont="1" applyFill="1" applyBorder="1" applyAlignment="1">
      <alignment horizontal="justify" vertical="center" wrapText="1"/>
    </xf>
    <xf numFmtId="167" fontId="10" fillId="2" borderId="34" xfId="0" applyNumberFormat="1" applyFont="1" applyFill="1" applyBorder="1" applyAlignment="1">
      <alignment vertical="center"/>
    </xf>
    <xf numFmtId="167" fontId="10" fillId="2" borderId="20" xfId="0" applyNumberFormat="1" applyFont="1" applyFill="1" applyBorder="1" applyAlignment="1">
      <alignment vertical="center"/>
    </xf>
    <xf numFmtId="167" fontId="10" fillId="2" borderId="49" xfId="0" applyNumberFormat="1" applyFont="1" applyFill="1" applyBorder="1" applyAlignment="1">
      <alignment horizontal="center" vertical="center"/>
    </xf>
    <xf numFmtId="0" fontId="23" fillId="4" borderId="31" xfId="0" applyFont="1" applyFill="1" applyBorder="1" applyAlignment="1">
      <alignment vertical="center"/>
    </xf>
    <xf numFmtId="180" fontId="10" fillId="0" borderId="6" xfId="0" quotePrefix="1" applyNumberFormat="1" applyFont="1" applyBorder="1" applyAlignment="1">
      <alignment horizontal="center" vertical="center" wrapText="1"/>
    </xf>
    <xf numFmtId="4" fontId="10" fillId="0" borderId="6" xfId="0" applyNumberFormat="1" applyFont="1" applyFill="1" applyBorder="1" applyAlignment="1">
      <alignment horizontal="center" vertical="center" wrapText="1"/>
    </xf>
    <xf numFmtId="0" fontId="10" fillId="2" borderId="17" xfId="3" applyFont="1" applyFill="1" applyBorder="1" applyAlignment="1">
      <alignment horizontal="center" vertical="center"/>
    </xf>
    <xf numFmtId="167" fontId="23" fillId="2" borderId="64" xfId="3" applyNumberFormat="1" applyFont="1" applyFill="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justify" vertical="center" wrapText="1"/>
    </xf>
    <xf numFmtId="167" fontId="23" fillId="0" borderId="22" xfId="0" applyNumberFormat="1" applyFont="1" applyBorder="1" applyAlignment="1">
      <alignment horizontal="center" vertical="center"/>
    </xf>
    <xf numFmtId="167" fontId="23" fillId="0" borderId="41" xfId="0" applyNumberFormat="1" applyFont="1" applyBorder="1" applyAlignment="1">
      <alignment horizontal="center" vertical="center" wrapText="1"/>
    </xf>
    <xf numFmtId="0" fontId="10" fillId="0" borderId="6" xfId="0" applyFont="1" applyBorder="1" applyAlignment="1">
      <alignment vertical="center" wrapText="1"/>
    </xf>
    <xf numFmtId="167" fontId="10" fillId="0" borderId="16" xfId="0" applyNumberFormat="1" applyFont="1" applyBorder="1" applyAlignment="1">
      <alignment horizontal="center" vertical="center" wrapText="1"/>
    </xf>
    <xf numFmtId="0" fontId="10" fillId="0" borderId="23" xfId="0" applyFont="1" applyBorder="1" applyAlignment="1">
      <alignment vertical="center"/>
    </xf>
    <xf numFmtId="0" fontId="23" fillId="0" borderId="14" xfId="0" applyFont="1" applyBorder="1" applyAlignment="1">
      <alignment horizontal="right" vertical="center"/>
    </xf>
    <xf numFmtId="167" fontId="23" fillId="0" borderId="14" xfId="0" applyNumberFormat="1" applyFont="1" applyBorder="1" applyAlignment="1">
      <alignment vertical="center"/>
    </xf>
    <xf numFmtId="167" fontId="10" fillId="0" borderId="19" xfId="0" applyNumberFormat="1" applyFont="1" applyBorder="1" applyAlignment="1">
      <alignment vertical="center"/>
    </xf>
    <xf numFmtId="0" fontId="68" fillId="0" borderId="90"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10" fontId="18" fillId="0" borderId="13"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31"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2" fontId="24" fillId="0" borderId="0" xfId="0" applyNumberFormat="1" applyFont="1" applyAlignment="1">
      <alignment horizontal="left" vertical="center" wrapText="1"/>
    </xf>
    <xf numFmtId="171" fontId="25" fillId="0" borderId="16" xfId="0" applyNumberFormat="1" applyFont="1" applyFill="1" applyBorder="1" applyAlignment="1">
      <alignment horizontal="center" vertical="center" wrapText="1"/>
    </xf>
    <xf numFmtId="167" fontId="23" fillId="0" borderId="44" xfId="3" applyNumberFormat="1" applyFont="1" applyFill="1" applyBorder="1" applyAlignment="1">
      <alignment horizontal="center" vertical="center" wrapText="1"/>
    </xf>
    <xf numFmtId="2" fontId="35" fillId="0" borderId="0" xfId="0" applyNumberFormat="1" applyFont="1" applyAlignment="1">
      <alignment horizontal="center" vertical="center"/>
    </xf>
    <xf numFmtId="0" fontId="0" fillId="0" borderId="0" xfId="0" applyAlignment="1">
      <alignment horizontal="left" vertical="center"/>
    </xf>
    <xf numFmtId="0" fontId="68" fillId="0" borderId="0" xfId="0" applyFont="1" applyAlignment="1">
      <alignment horizontal="center"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0" fontId="35" fillId="0" borderId="0" xfId="0" applyFont="1" applyFill="1" applyBorder="1" applyAlignment="1">
      <alignment horizontal="left" vertical="center" wrapText="1"/>
    </xf>
    <xf numFmtId="2" fontId="11" fillId="0" borderId="0" xfId="0" applyNumberFormat="1" applyFont="1" applyFill="1" applyBorder="1" applyAlignment="1" applyProtection="1">
      <alignment horizontal="center" vertical="center"/>
      <protection locked="0"/>
    </xf>
    <xf numFmtId="0" fontId="0" fillId="0" borderId="0" xfId="0" applyAlignment="1">
      <alignment horizontal="left" vertical="center"/>
    </xf>
    <xf numFmtId="4" fontId="75" fillId="0" borderId="0" xfId="5" applyNumberFormat="1" applyFont="1" applyFill="1" applyBorder="1" applyAlignment="1">
      <alignment horizontal="center" vertical="center"/>
    </xf>
    <xf numFmtId="0" fontId="75" fillId="0" borderId="0" xfId="5" applyFont="1" applyFill="1" applyBorder="1" applyAlignment="1">
      <alignment horizontal="center" vertical="center"/>
    </xf>
    <xf numFmtId="4" fontId="75"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8" fontId="75" fillId="0" borderId="0" xfId="5" applyNumberFormat="1" applyFont="1" applyFill="1" applyBorder="1" applyAlignment="1">
      <alignment horizontal="center" vertical="center" wrapText="1"/>
    </xf>
    <xf numFmtId="4" fontId="76"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5" fillId="0" borderId="0" xfId="5" applyFont="1" applyFill="1" applyBorder="1" applyAlignment="1">
      <alignment horizontal="center" vertical="center" wrapText="1"/>
    </xf>
    <xf numFmtId="0" fontId="11" fillId="0" borderId="0" xfId="0" applyFont="1" applyAlignment="1">
      <alignment horizontal="left"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1" fillId="0" borderId="91" xfId="0" applyFont="1" applyFill="1" applyBorder="1" applyAlignment="1">
      <alignment horizontal="center" vertical="center"/>
    </xf>
    <xf numFmtId="0" fontId="18" fillId="0" borderId="0" xfId="0" quotePrefix="1" applyFont="1" applyFill="1" applyBorder="1" applyAlignment="1">
      <alignment horizontal="center" vertical="center"/>
    </xf>
    <xf numFmtId="0" fontId="90" fillId="0" borderId="0" xfId="0" applyFont="1" applyFill="1" applyAlignment="1" applyProtection="1">
      <alignment vertical="center"/>
      <protection hidden="1"/>
    </xf>
    <xf numFmtId="0" fontId="17" fillId="0" borderId="0" xfId="0" applyFont="1" applyFill="1" applyAlignment="1" applyProtection="1">
      <alignment vertical="center"/>
      <protection hidden="1"/>
    </xf>
    <xf numFmtId="14" fontId="17" fillId="0" borderId="0" xfId="0" applyNumberFormat="1" applyFont="1" applyFill="1" applyAlignment="1" applyProtection="1">
      <alignment vertical="center"/>
      <protection hidden="1"/>
    </xf>
    <xf numFmtId="0" fontId="0" fillId="0" borderId="0" xfId="0" applyFont="1"/>
    <xf numFmtId="0" fontId="0" fillId="0" borderId="0" xfId="0" applyFont="1" applyAlignment="1">
      <alignment horizontal="center"/>
    </xf>
    <xf numFmtId="176" fontId="0" fillId="0" borderId="0" xfId="0" applyNumberFormat="1" applyFont="1"/>
    <xf numFmtId="0" fontId="68" fillId="0" borderId="6" xfId="0" applyFont="1" applyBorder="1" applyAlignment="1">
      <alignment horizontal="left" vertical="center"/>
    </xf>
    <xf numFmtId="0" fontId="0" fillId="0" borderId="6" xfId="0" applyBorder="1" applyAlignment="1">
      <alignment horizontal="left" vertical="center"/>
    </xf>
    <xf numFmtId="181" fontId="0" fillId="0" borderId="6" xfId="0" applyNumberFormat="1" applyBorder="1" applyAlignment="1">
      <alignment horizontal="left" vertical="center"/>
    </xf>
    <xf numFmtId="0" fontId="0" fillId="40" borderId="6" xfId="0" applyFont="1" applyFill="1" applyBorder="1" applyAlignment="1">
      <alignment horizontal="left" vertical="center"/>
    </xf>
    <xf numFmtId="0" fontId="0" fillId="40" borderId="6" xfId="0" applyFill="1" applyBorder="1" applyAlignment="1">
      <alignment horizontal="left" vertical="center"/>
    </xf>
    <xf numFmtId="176" fontId="0" fillId="40" borderId="6" xfId="0" applyNumberFormat="1" applyFill="1" applyBorder="1" applyAlignment="1">
      <alignment horizontal="left" vertical="center"/>
    </xf>
    <xf numFmtId="176" fontId="0" fillId="40" borderId="6" xfId="0" applyNumberFormat="1" applyFont="1" applyFill="1" applyBorder="1" applyAlignment="1">
      <alignment horizontal="left" vertical="center"/>
    </xf>
    <xf numFmtId="0" fontId="0" fillId="40" borderId="6" xfId="0" applyFont="1" applyFill="1" applyBorder="1" applyAlignment="1">
      <alignment horizontal="left" vertical="center" wrapText="1"/>
    </xf>
    <xf numFmtId="176" fontId="2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68" fillId="3" borderId="26" xfId="0" applyFont="1" applyFill="1" applyBorder="1" applyAlignment="1">
      <alignment horizontal="left" vertical="center"/>
    </xf>
    <xf numFmtId="0" fontId="0" fillId="40" borderId="13" xfId="0" applyFill="1" applyBorder="1" applyAlignment="1">
      <alignment horizontal="right" vertical="center"/>
    </xf>
    <xf numFmtId="0" fontId="0" fillId="40" borderId="12" xfId="0" applyFill="1" applyBorder="1" applyAlignment="1">
      <alignment horizontal="left" vertical="center"/>
    </xf>
    <xf numFmtId="0" fontId="68" fillId="3" borderId="12" xfId="0" applyFont="1" applyFill="1" applyBorder="1" applyAlignment="1">
      <alignment horizontal="left" vertical="center"/>
    </xf>
    <xf numFmtId="0" fontId="0" fillId="0" borderId="13" xfId="0" applyBorder="1" applyAlignment="1">
      <alignment horizontal="left" vertical="center"/>
    </xf>
    <xf numFmtId="0" fontId="73" fillId="40" borderId="12" xfId="0" applyFont="1" applyFill="1" applyBorder="1" applyAlignment="1">
      <alignment horizontal="left" vertical="center"/>
    </xf>
    <xf numFmtId="0" fontId="73" fillId="40" borderId="13" xfId="0" applyFont="1" applyFill="1" applyBorder="1" applyAlignment="1">
      <alignment horizontal="right" vertical="center"/>
    </xf>
    <xf numFmtId="0" fontId="0" fillId="40" borderId="12" xfId="0" applyFill="1" applyBorder="1" applyAlignment="1">
      <alignment horizontal="center" vertical="center"/>
    </xf>
    <xf numFmtId="0" fontId="73" fillId="40" borderId="12" xfId="0" applyFont="1" applyFill="1" applyBorder="1" applyAlignment="1">
      <alignment horizontal="center" vertical="center"/>
    </xf>
    <xf numFmtId="0" fontId="0" fillId="0" borderId="13" xfId="0" applyBorder="1" applyAlignment="1">
      <alignment horizontal="left"/>
    </xf>
    <xf numFmtId="0" fontId="0" fillId="40" borderId="48" xfId="0" applyFill="1" applyBorder="1" applyAlignment="1">
      <alignment horizontal="left" vertical="center"/>
    </xf>
    <xf numFmtId="0" fontId="0" fillId="40" borderId="47" xfId="0" applyFill="1" applyBorder="1" applyAlignment="1">
      <alignment horizontal="right" vertical="center"/>
    </xf>
    <xf numFmtId="0" fontId="0" fillId="0" borderId="99" xfId="0" applyFont="1" applyBorder="1" applyAlignment="1">
      <alignment horizontal="right" vertical="center" wrapText="1"/>
    </xf>
    <xf numFmtId="0" fontId="0" fillId="0" borderId="102" xfId="0" applyFont="1" applyBorder="1" applyAlignment="1">
      <alignment vertical="center" wrapText="1"/>
    </xf>
    <xf numFmtId="0" fontId="92" fillId="0" borderId="102" xfId="0" applyFont="1" applyBorder="1" applyAlignment="1">
      <alignment vertical="center" wrapText="1"/>
    </xf>
    <xf numFmtId="0" fontId="92" fillId="31" borderId="98" xfId="0" applyFont="1" applyFill="1" applyBorder="1" applyAlignment="1">
      <alignment vertical="center" wrapText="1"/>
    </xf>
    <xf numFmtId="0" fontId="92" fillId="31" borderId="99" xfId="0" applyFont="1" applyFill="1" applyBorder="1" applyAlignment="1">
      <alignment horizontal="right" vertical="center" wrapText="1"/>
    </xf>
    <xf numFmtId="167" fontId="23" fillId="0" borderId="16"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0" fontId="92" fillId="31" borderId="104" xfId="0" applyFont="1" applyFill="1" applyBorder="1" applyAlignment="1">
      <alignment vertical="center" wrapText="1"/>
    </xf>
    <xf numFmtId="0" fontId="69" fillId="31" borderId="105" xfId="0" applyFont="1" applyFill="1" applyBorder="1" applyAlignment="1">
      <alignment horizontal="right" vertical="center" wrapText="1"/>
    </xf>
    <xf numFmtId="0" fontId="0" fillId="31" borderId="26" xfId="0" applyFont="1" applyFill="1" applyBorder="1" applyAlignment="1">
      <alignment vertical="center" wrapText="1"/>
    </xf>
    <xf numFmtId="0" fontId="0" fillId="31" borderId="28" xfId="0" applyFont="1" applyFill="1" applyBorder="1" applyAlignment="1">
      <alignment horizontal="right" vertical="center" wrapText="1"/>
    </xf>
    <xf numFmtId="0" fontId="0" fillId="31" borderId="100" xfId="0" applyFont="1" applyFill="1" applyBorder="1" applyAlignment="1">
      <alignment vertical="center" wrapText="1"/>
    </xf>
    <xf numFmtId="0" fontId="0" fillId="31" borderId="99" xfId="0" applyFont="1" applyFill="1" applyBorder="1" applyAlignment="1">
      <alignment horizontal="right" vertical="center" wrapText="1"/>
    </xf>
    <xf numFmtId="0" fontId="0" fillId="31" borderId="98" xfId="0" applyFont="1" applyFill="1" applyBorder="1" applyAlignment="1">
      <alignment vertical="center" wrapText="1"/>
    </xf>
    <xf numFmtId="0" fontId="0" fillId="31" borderId="101" xfId="0" applyFont="1" applyFill="1" applyBorder="1" applyAlignment="1">
      <alignment vertical="center" wrapText="1"/>
    </xf>
    <xf numFmtId="0" fontId="0" fillId="31" borderId="98" xfId="0" applyFont="1" applyFill="1" applyBorder="1" applyAlignment="1">
      <alignment horizontal="center" vertical="center" wrapText="1"/>
    </xf>
    <xf numFmtId="0" fontId="73" fillId="31" borderId="98" xfId="0" applyFont="1" applyFill="1" applyBorder="1" applyAlignment="1">
      <alignment horizontal="center" vertical="center" wrapText="1"/>
    </xf>
    <xf numFmtId="0" fontId="0" fillId="31" borderId="103" xfId="0" applyFont="1" applyFill="1" applyBorder="1" applyAlignment="1">
      <alignment vertical="center" wrapText="1"/>
    </xf>
    <xf numFmtId="0" fontId="0" fillId="31" borderId="47" xfId="0" applyFont="1" applyFill="1" applyBorder="1" applyAlignment="1">
      <alignment horizontal="right" vertical="center" wrapText="1"/>
    </xf>
    <xf numFmtId="0" fontId="0" fillId="31" borderId="96" xfId="0" applyFont="1" applyFill="1" applyBorder="1" applyAlignment="1">
      <alignment vertical="center" wrapText="1"/>
    </xf>
    <xf numFmtId="0" fontId="91" fillId="31" borderId="97" xfId="0" applyFont="1" applyFill="1" applyBorder="1" applyAlignment="1">
      <alignment horizontal="right" vertical="center" wrapText="1"/>
    </xf>
    <xf numFmtId="0" fontId="91" fillId="31" borderId="99" xfId="0" applyFont="1" applyFill="1" applyBorder="1" applyAlignment="1">
      <alignment horizontal="right" vertical="center" wrapText="1"/>
    </xf>
    <xf numFmtId="0" fontId="92" fillId="31" borderId="101" xfId="0" applyFont="1" applyFill="1" applyBorder="1" applyAlignment="1">
      <alignment vertical="center" wrapText="1"/>
    </xf>
    <xf numFmtId="0" fontId="92" fillId="31" borderId="106" xfId="0" applyFont="1" applyFill="1" applyBorder="1" applyAlignment="1">
      <alignment vertical="center" wrapText="1"/>
    </xf>
    <xf numFmtId="0" fontId="92" fillId="31" borderId="47" xfId="0" applyFont="1" applyFill="1" applyBorder="1" applyAlignment="1">
      <alignment horizontal="right" vertical="center" wrapText="1"/>
    </xf>
    <xf numFmtId="2" fontId="10" fillId="0" borderId="0" xfId="1" applyNumberFormat="1" applyFont="1" applyFill="1" applyBorder="1" applyAlignment="1" applyProtection="1">
      <alignment horizontal="center" vertical="center"/>
      <protection locked="0"/>
    </xf>
    <xf numFmtId="0" fontId="76" fillId="0" borderId="0" xfId="5" applyFont="1" applyFill="1" applyBorder="1" applyAlignment="1">
      <alignment horizontal="center" vertical="center" wrapText="1"/>
    </xf>
    <xf numFmtId="0" fontId="0" fillId="40" borderId="6" xfId="0" applyFont="1" applyFill="1" applyBorder="1" applyAlignment="1">
      <alignment horizontal="left" vertical="center"/>
    </xf>
    <xf numFmtId="0" fontId="75" fillId="0" borderId="0" xfId="5" applyFont="1" applyFill="1" applyBorder="1" applyAlignment="1">
      <alignment vertical="center"/>
    </xf>
    <xf numFmtId="2" fontId="10" fillId="0" borderId="0" xfId="1" applyNumberFormat="1" applyFont="1" applyFill="1" applyBorder="1" applyAlignment="1" applyProtection="1">
      <alignment horizontal="center" vertical="center"/>
    </xf>
    <xf numFmtId="0" fontId="0" fillId="40" borderId="6" xfId="0" applyFont="1" applyFill="1" applyBorder="1" applyAlignment="1">
      <alignment horizontal="left" vertical="center"/>
    </xf>
    <xf numFmtId="0" fontId="0" fillId="40" borderId="6" xfId="0" applyFont="1" applyFill="1" applyBorder="1" applyAlignment="1">
      <alignment horizontal="left" vertical="center" wrapText="1"/>
    </xf>
    <xf numFmtId="176" fontId="0" fillId="40" borderId="6" xfId="0" applyNumberFormat="1" applyFont="1" applyFill="1" applyBorder="1" applyAlignment="1">
      <alignment horizontal="left" vertical="center"/>
    </xf>
    <xf numFmtId="0" fontId="0" fillId="0" borderId="0" xfId="0" applyAlignment="1">
      <alignment horizontal="left" vertical="center"/>
    </xf>
    <xf numFmtId="0" fontId="35" fillId="0" borderId="0" xfId="1" applyNumberFormat="1" applyFont="1" applyFill="1" applyBorder="1" applyAlignment="1">
      <alignment horizontal="center" vertical="center"/>
    </xf>
    <xf numFmtId="0" fontId="0" fillId="0" borderId="63" xfId="0" applyFont="1" applyFill="1" applyBorder="1" applyAlignment="1">
      <alignment horizontal="left" vertical="center"/>
    </xf>
    <xf numFmtId="181" fontId="0" fillId="40" borderId="6" xfId="0" applyNumberFormat="1" applyFill="1" applyBorder="1" applyAlignment="1">
      <alignment horizontal="left" vertical="center"/>
    </xf>
    <xf numFmtId="2" fontId="10" fillId="0" borderId="0" xfId="0" quotePrefix="1" applyNumberFormat="1" applyFont="1" applyFill="1" applyBorder="1" applyAlignment="1">
      <alignment horizontal="center" vertical="center"/>
    </xf>
    <xf numFmtId="4" fontId="11" fillId="0" borderId="9" xfId="0" applyNumberFormat="1" applyFont="1" applyFill="1" applyBorder="1" applyAlignment="1">
      <alignment horizontal="right" vertical="center" wrapText="1"/>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6" xfId="0" applyFont="1" applyBorder="1" applyAlignment="1">
      <alignment horizontal="left" vertical="center" wrapText="1"/>
    </xf>
    <xf numFmtId="2" fontId="55" fillId="0" borderId="0" xfId="0" applyNumberFormat="1" applyFont="1" applyFill="1" applyBorder="1" applyAlignment="1">
      <alignment horizontal="left" vertical="center"/>
    </xf>
    <xf numFmtId="0" fontId="24" fillId="0" borderId="12" xfId="0" applyFont="1" applyBorder="1" applyAlignment="1">
      <alignment horizontal="left" vertical="center"/>
    </xf>
    <xf numFmtId="0" fontId="24" fillId="0" borderId="0" xfId="0" applyFont="1" applyAlignment="1">
      <alignment vertical="center"/>
    </xf>
    <xf numFmtId="0" fontId="0" fillId="3" borderId="6" xfId="0" applyFont="1" applyFill="1" applyBorder="1" applyAlignment="1">
      <alignment horizontal="left" vertical="center"/>
    </xf>
    <xf numFmtId="0" fontId="0" fillId="3" borderId="6" xfId="0" applyFont="1" applyFill="1" applyBorder="1" applyAlignment="1">
      <alignment horizontal="left" vertical="center" wrapText="1"/>
    </xf>
    <xf numFmtId="0" fontId="0" fillId="3" borderId="6" xfId="0" applyFill="1" applyBorder="1" applyAlignment="1">
      <alignment horizontal="left" vertical="center"/>
    </xf>
    <xf numFmtId="176" fontId="0" fillId="3" borderId="6" xfId="0" applyNumberFormat="1" applyFill="1" applyBorder="1" applyAlignment="1">
      <alignment horizontal="left" vertical="center"/>
    </xf>
    <xf numFmtId="0" fontId="0" fillId="40" borderId="6" xfId="0" applyFill="1" applyBorder="1" applyAlignment="1">
      <alignment horizontal="left" vertical="center" wrapText="1"/>
    </xf>
    <xf numFmtId="0" fontId="0" fillId="3" borderId="0" xfId="0" applyFill="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center" vertical="center" wrapText="1"/>
    </xf>
    <xf numFmtId="4" fontId="11" fillId="3"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wrapText="1"/>
    </xf>
    <xf numFmtId="2" fontId="11" fillId="0" borderId="14" xfId="0" applyNumberFormat="1" applyFont="1" applyBorder="1" applyAlignment="1">
      <alignment horizontal="right" vertical="center"/>
    </xf>
    <xf numFmtId="0" fontId="11" fillId="0" borderId="14" xfId="0" applyFont="1" applyBorder="1" applyAlignment="1">
      <alignment horizontal="right" vertical="center"/>
    </xf>
    <xf numFmtId="4" fontId="11" fillId="0" borderId="14" xfId="0" applyNumberFormat="1" applyFont="1" applyBorder="1" applyAlignment="1">
      <alignment horizontal="right" vertical="center"/>
    </xf>
    <xf numFmtId="10" fontId="18" fillId="0" borderId="14" xfId="0" applyNumberFormat="1" applyFont="1" applyBorder="1" applyAlignment="1">
      <alignment horizontal="right" vertical="center"/>
    </xf>
    <xf numFmtId="0" fontId="18" fillId="2" borderId="20" xfId="0" applyFont="1" applyFill="1" applyBorder="1" applyAlignment="1">
      <alignment horizontal="right" vertical="center" wrapText="1"/>
    </xf>
    <xf numFmtId="4" fontId="18" fillId="2" borderId="20"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xf>
    <xf numFmtId="2" fontId="11" fillId="32" borderId="6" xfId="0" applyNumberFormat="1" applyFont="1" applyFill="1" applyBorder="1" applyAlignment="1">
      <alignment horizontal="right" vertical="center"/>
    </xf>
    <xf numFmtId="4" fontId="11" fillId="32" borderId="6" xfId="0" applyNumberFormat="1" applyFont="1" applyFill="1" applyBorder="1" applyAlignment="1">
      <alignment horizontal="right" vertical="center" wrapText="1"/>
    </xf>
    <xf numFmtId="2" fontId="11" fillId="0" borderId="14" xfId="0" applyNumberFormat="1" applyFont="1" applyFill="1" applyBorder="1" applyAlignment="1">
      <alignment horizontal="right" vertical="center" wrapText="1"/>
    </xf>
    <xf numFmtId="0" fontId="11" fillId="0" borderId="14" xfId="0" applyFont="1" applyFill="1" applyBorder="1" applyAlignment="1">
      <alignment horizontal="right" vertical="center" wrapText="1"/>
    </xf>
    <xf numFmtId="4" fontId="11" fillId="0" borderId="14" xfId="0" applyNumberFormat="1" applyFont="1" applyFill="1" applyBorder="1" applyAlignment="1">
      <alignment horizontal="right" vertical="center" wrapText="1"/>
    </xf>
    <xf numFmtId="0" fontId="11" fillId="0" borderId="61" xfId="0" applyFont="1" applyBorder="1" applyAlignment="1">
      <alignment horizontal="right" vertical="center"/>
    </xf>
    <xf numFmtId="4" fontId="11" fillId="0" borderId="61" xfId="0" applyNumberFormat="1" applyFont="1" applyBorder="1" applyAlignment="1">
      <alignment horizontal="right" vertical="center"/>
    </xf>
    <xf numFmtId="10" fontId="18" fillId="0" borderId="61" xfId="0" applyNumberFormat="1" applyFont="1" applyBorder="1" applyAlignment="1">
      <alignment horizontal="right" vertical="center"/>
    </xf>
    <xf numFmtId="0" fontId="11" fillId="0" borderId="6" xfId="0" applyFont="1" applyBorder="1" applyAlignment="1">
      <alignment horizontal="right" vertical="center"/>
    </xf>
    <xf numFmtId="10" fontId="18" fillId="0" borderId="6" xfId="0" applyNumberFormat="1" applyFont="1" applyBorder="1" applyAlignment="1">
      <alignment horizontal="right" vertical="center"/>
    </xf>
    <xf numFmtId="2" fontId="11" fillId="6" borderId="14" xfId="1" applyNumberFormat="1" applyFont="1" applyFill="1" applyBorder="1" applyAlignment="1">
      <alignment horizontal="right" vertical="center"/>
    </xf>
    <xf numFmtId="2" fontId="7" fillId="36" borderId="22" xfId="0" applyNumberFormat="1" applyFont="1" applyFill="1" applyBorder="1" applyAlignment="1">
      <alignment horizontal="right" vertical="center" wrapText="1"/>
    </xf>
    <xf numFmtId="4" fontId="7" fillId="36" borderId="22" xfId="0" applyNumberFormat="1" applyFont="1" applyFill="1" applyBorder="1" applyAlignment="1">
      <alignment horizontal="right" vertical="center" wrapText="1"/>
    </xf>
    <xf numFmtId="2" fontId="11" fillId="36" borderId="22" xfId="1" applyNumberFormat="1" applyFont="1" applyFill="1" applyBorder="1" applyAlignment="1">
      <alignment horizontal="right" vertical="center"/>
    </xf>
    <xf numFmtId="2" fontId="7" fillId="33" borderId="8" xfId="0" applyNumberFormat="1" applyFont="1" applyFill="1" applyBorder="1" applyAlignment="1">
      <alignment horizontal="right" vertical="center" wrapText="1"/>
    </xf>
    <xf numFmtId="4" fontId="7" fillId="33" borderId="8" xfId="0" applyNumberFormat="1" applyFont="1" applyFill="1" applyBorder="1" applyAlignment="1">
      <alignment horizontal="right" vertical="center" wrapText="1"/>
    </xf>
    <xf numFmtId="2" fontId="11" fillId="33" borderId="8" xfId="1" applyNumberFormat="1" applyFont="1" applyFill="1" applyBorder="1" applyAlignment="1">
      <alignment horizontal="right" vertical="center"/>
    </xf>
    <xf numFmtId="173" fontId="11" fillId="3" borderId="9"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4" fontId="11" fillId="0" borderId="14" xfId="0" applyNumberFormat="1" applyFont="1" applyFill="1" applyBorder="1" applyAlignment="1">
      <alignment horizontal="right" vertical="center"/>
    </xf>
    <xf numFmtId="4" fontId="7" fillId="2" borderId="22" xfId="0" applyNumberFormat="1" applyFont="1" applyFill="1" applyBorder="1" applyAlignment="1">
      <alignment horizontal="right" vertical="center" wrapText="1"/>
    </xf>
    <xf numFmtId="0" fontId="33" fillId="0" borderId="0" xfId="0" applyNumberFormat="1" applyFont="1" applyFill="1" applyBorder="1" applyAlignment="1" applyProtection="1"/>
    <xf numFmtId="0" fontId="19" fillId="0" borderId="12"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3" xfId="0" applyNumberFormat="1" applyFont="1" applyFill="1" applyBorder="1" applyAlignment="1" applyProtection="1">
      <alignment vertical="center"/>
    </xf>
    <xf numFmtId="0" fontId="70" fillId="0" borderId="12" xfId="0" applyNumberFormat="1" applyFont="1" applyFill="1" applyBorder="1" applyAlignment="1" applyProtection="1">
      <alignment horizontal="left" vertical="center"/>
    </xf>
    <xf numFmtId="2" fontId="19" fillId="0" borderId="13" xfId="0" applyNumberFormat="1" applyFont="1" applyFill="1" applyBorder="1" applyAlignment="1" applyProtection="1">
      <alignment vertical="center" wrapText="1"/>
    </xf>
    <xf numFmtId="10" fontId="70" fillId="0" borderId="0" xfId="0" applyNumberFormat="1" applyFont="1" applyFill="1" applyBorder="1" applyAlignment="1" applyProtection="1">
      <alignment horizontal="right" vertical="center"/>
    </xf>
    <xf numFmtId="10" fontId="70" fillId="0" borderId="13"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vertical="center"/>
    </xf>
    <xf numFmtId="0" fontId="70" fillId="0" borderId="0" xfId="0" applyNumberFormat="1" applyFont="1" applyFill="1" applyBorder="1" applyAlignment="1" applyProtection="1">
      <alignment vertical="center"/>
    </xf>
    <xf numFmtId="4" fontId="70" fillId="0" borderId="0" xfId="0" applyNumberFormat="1" applyFont="1" applyFill="1" applyBorder="1" applyAlignment="1" applyProtection="1">
      <alignment horizontal="right" vertical="center"/>
    </xf>
    <xf numFmtId="49" fontId="70" fillId="0" borderId="13"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70" fillId="34" borderId="36" xfId="0" applyNumberFormat="1" applyFont="1" applyFill="1" applyBorder="1" applyAlignment="1" applyProtection="1">
      <alignment horizontal="right" vertical="center" wrapText="1"/>
    </xf>
    <xf numFmtId="0" fontId="94" fillId="0" borderId="0" xfId="0" applyNumberFormat="1" applyFont="1" applyFill="1" applyBorder="1" applyAlignment="1" applyProtection="1">
      <alignment horizontal="center" vertical="center"/>
    </xf>
    <xf numFmtId="0" fontId="70" fillId="0" borderId="55" xfId="0" applyNumberFormat="1" applyFont="1" applyFill="1" applyBorder="1" applyAlignment="1" applyProtection="1">
      <alignment horizontal="right" vertical="center" wrapText="1"/>
    </xf>
    <xf numFmtId="167" fontId="70" fillId="0" borderId="43" xfId="0" applyNumberFormat="1" applyFont="1" applyFill="1" applyBorder="1" applyAlignment="1" applyProtection="1">
      <alignment horizontal="justify" vertical="center" wrapText="1"/>
    </xf>
    <xf numFmtId="167" fontId="70" fillId="0" borderId="56" xfId="0" applyNumberFormat="1" applyFont="1" applyFill="1" applyBorder="1" applyAlignment="1" applyProtection="1">
      <alignment horizontal="justify" vertical="center" wrapText="1"/>
    </xf>
    <xf numFmtId="0" fontId="70" fillId="0" borderId="55" xfId="0" applyNumberFormat="1" applyFont="1" applyFill="1" applyBorder="1" applyAlignment="1" applyProtection="1">
      <alignment horizontal="right" vertical="center"/>
    </xf>
    <xf numFmtId="0" fontId="70" fillId="0" borderId="43" xfId="0" applyNumberFormat="1" applyFont="1" applyFill="1" applyBorder="1" applyAlignment="1" applyProtection="1">
      <alignment horizontal="left" vertical="center"/>
    </xf>
    <xf numFmtId="0" fontId="70" fillId="0" borderId="56" xfId="0" applyNumberFormat="1" applyFont="1" applyFill="1" applyBorder="1" applyAlignment="1" applyProtection="1">
      <alignment horizontal="left" vertical="center"/>
    </xf>
    <xf numFmtId="0" fontId="70" fillId="41"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wrapText="1"/>
    </xf>
    <xf numFmtId="167" fontId="70" fillId="41" borderId="14"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right" vertical="center"/>
    </xf>
    <xf numFmtId="167" fontId="70" fillId="0" borderId="43"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56" xfId="0" applyNumberFormat="1" applyFont="1" applyFill="1" applyBorder="1" applyAlignment="1" applyProtection="1">
      <alignment horizontal="center" vertical="center" wrapText="1"/>
    </xf>
    <xf numFmtId="0" fontId="70" fillId="41" borderId="109" xfId="0" applyNumberFormat="1" applyFont="1" applyFill="1" applyBorder="1" applyAlignment="1" applyProtection="1">
      <alignment horizontal="center" vertical="center" wrapText="1"/>
    </xf>
    <xf numFmtId="0" fontId="70" fillId="41" borderId="110" xfId="0" applyNumberFormat="1" applyFont="1" applyFill="1" applyBorder="1" applyAlignment="1" applyProtection="1">
      <alignment horizontal="center" vertical="center" wrapText="1"/>
    </xf>
    <xf numFmtId="0" fontId="70" fillId="41" borderId="111" xfId="0" applyNumberFormat="1" applyFont="1" applyFill="1" applyBorder="1" applyAlignment="1" applyProtection="1">
      <alignment horizontal="center" vertical="center" wrapText="1"/>
    </xf>
    <xf numFmtId="2" fontId="19" fillId="0" borderId="109" xfId="0" applyNumberFormat="1" applyFont="1" applyFill="1" applyBorder="1" applyAlignment="1" applyProtection="1">
      <alignment horizontal="center" vertical="center" wrapText="1"/>
    </xf>
    <xf numFmtId="2" fontId="19" fillId="0" borderId="110" xfId="0" applyNumberFormat="1" applyFont="1" applyFill="1" applyBorder="1" applyAlignment="1" applyProtection="1">
      <alignment horizontal="center" vertical="center" wrapText="1"/>
    </xf>
    <xf numFmtId="2" fontId="19" fillId="0" borderId="111" xfId="0" applyNumberFormat="1" applyFont="1" applyFill="1" applyBorder="1" applyAlignment="1" applyProtection="1">
      <alignment vertical="center" wrapText="1"/>
    </xf>
    <xf numFmtId="2" fontId="19" fillId="41" borderId="118" xfId="0" applyNumberFormat="1" applyFont="1" applyFill="1" applyBorder="1" applyAlignment="1" applyProtection="1">
      <alignment horizontal="center" vertical="center" wrapText="1"/>
    </xf>
    <xf numFmtId="2" fontId="19" fillId="41" borderId="119" xfId="0" applyNumberFormat="1" applyFont="1" applyFill="1" applyBorder="1" applyAlignment="1" applyProtection="1">
      <alignment horizontal="center" vertical="center" wrapText="1"/>
    </xf>
    <xf numFmtId="167" fontId="70" fillId="0" borderId="120" xfId="0" applyNumberFormat="1" applyFont="1" applyFill="1" applyBorder="1" applyAlignment="1" applyProtection="1">
      <alignment horizontal="right" vertical="center" wrapText="1"/>
    </xf>
    <xf numFmtId="167" fontId="70" fillId="0" borderId="118" xfId="0" applyNumberFormat="1" applyFont="1" applyFill="1" applyBorder="1" applyAlignment="1" applyProtection="1">
      <alignment horizontal="right" vertical="center" wrapText="1"/>
    </xf>
    <xf numFmtId="2" fontId="19" fillId="0" borderId="118" xfId="0" applyNumberFormat="1" applyFont="1" applyFill="1" applyBorder="1" applyAlignment="1" applyProtection="1">
      <alignment horizontal="center" vertical="center" wrapText="1"/>
    </xf>
    <xf numFmtId="2" fontId="19" fillId="0" borderId="119" xfId="0" applyNumberFormat="1" applyFont="1" applyFill="1" applyBorder="1" applyAlignment="1" applyProtection="1">
      <alignment horizontal="center" vertical="center" wrapText="1"/>
    </xf>
    <xf numFmtId="0" fontId="70" fillId="34" borderId="121" xfId="0" applyNumberFormat="1" applyFont="1" applyFill="1" applyBorder="1" applyAlignment="1" applyProtection="1">
      <alignment horizontal="right" vertical="center" wrapText="1"/>
    </xf>
    <xf numFmtId="0" fontId="70" fillId="41" borderId="31" xfId="0" applyNumberFormat="1" applyFont="1" applyFill="1" applyBorder="1" applyAlignment="1" applyProtection="1">
      <alignment horizontal="center" vertical="center" wrapText="1"/>
    </xf>
    <xf numFmtId="0" fontId="70" fillId="41" borderId="8" xfId="0" applyNumberFormat="1" applyFont="1" applyFill="1" applyBorder="1" applyAlignment="1" applyProtection="1">
      <alignment horizontal="center" vertical="center" wrapText="1"/>
    </xf>
    <xf numFmtId="167" fontId="19" fillId="0" borderId="109" xfId="0" quotePrefix="1" applyNumberFormat="1" applyFont="1" applyFill="1" applyBorder="1" applyAlignment="1" applyProtection="1">
      <alignment horizontal="center" vertical="center" wrapText="1"/>
    </xf>
    <xf numFmtId="167" fontId="19" fillId="0" borderId="110" xfId="0" applyNumberFormat="1" applyFont="1" applyFill="1" applyBorder="1" applyAlignment="1" applyProtection="1">
      <alignment vertical="center" wrapText="1"/>
    </xf>
    <xf numFmtId="2" fontId="33" fillId="0" borderId="0" xfId="0" applyNumberFormat="1" applyFont="1" applyFill="1" applyBorder="1" applyAlignment="1" applyProtection="1"/>
    <xf numFmtId="0" fontId="19" fillId="0" borderId="109" xfId="0" quotePrefix="1" applyNumberFormat="1" applyFont="1" applyFill="1" applyBorder="1" applyAlignment="1" applyProtection="1">
      <alignment horizontal="center" vertical="center" wrapText="1"/>
    </xf>
    <xf numFmtId="2" fontId="19" fillId="0" borderId="110" xfId="0" applyNumberFormat="1" applyFont="1" applyFill="1" applyBorder="1" applyAlignment="1" applyProtection="1">
      <alignment vertical="center"/>
    </xf>
    <xf numFmtId="0" fontId="19" fillId="41" borderId="120" xfId="0" applyNumberFormat="1" applyFont="1" applyFill="1" applyBorder="1" applyAlignment="1" applyProtection="1">
      <alignment vertical="center" wrapText="1"/>
    </xf>
    <xf numFmtId="0" fontId="70" fillId="41" borderId="118" xfId="0" applyNumberFormat="1" applyFont="1" applyFill="1" applyBorder="1" applyAlignment="1" applyProtection="1">
      <alignment horizontal="center" vertical="center"/>
    </xf>
    <xf numFmtId="167" fontId="70" fillId="41" borderId="118" xfId="0" quotePrefix="1" applyNumberFormat="1" applyFont="1" applyFill="1" applyBorder="1" applyAlignment="1" applyProtection="1">
      <alignment horizontal="center" vertical="center" wrapText="1"/>
    </xf>
    <xf numFmtId="167" fontId="70" fillId="41" borderId="125" xfId="0" applyNumberFormat="1" applyFont="1" applyFill="1" applyBorder="1" applyAlignment="1" applyProtection="1">
      <alignment horizontal="right" vertical="center" wrapText="1"/>
    </xf>
    <xf numFmtId="167" fontId="19" fillId="41" borderId="126" xfId="0" applyNumberFormat="1" applyFont="1" applyFill="1" applyBorder="1" applyAlignment="1" applyProtection="1">
      <alignment vertical="center" wrapText="1"/>
    </xf>
    <xf numFmtId="167" fontId="19" fillId="41" borderId="116" xfId="0" applyNumberFormat="1" applyFont="1" applyFill="1" applyBorder="1" applyAlignment="1" applyProtection="1">
      <alignment vertical="center" wrapText="1"/>
    </xf>
    <xf numFmtId="167" fontId="19" fillId="41" borderId="127" xfId="0" applyNumberFormat="1" applyFont="1" applyFill="1" applyBorder="1" applyAlignment="1" applyProtection="1">
      <alignment vertical="center" wrapText="1"/>
    </xf>
    <xf numFmtId="0" fontId="70" fillId="0" borderId="12" xfId="0" applyNumberFormat="1" applyFont="1" applyFill="1" applyBorder="1" applyAlignment="1" applyProtection="1">
      <alignment horizontal="right" vertical="center"/>
    </xf>
    <xf numFmtId="0" fontId="70" fillId="0" borderId="0" xfId="0" applyNumberFormat="1" applyFont="1" applyFill="1" applyBorder="1" applyAlignment="1" applyProtection="1">
      <alignment horizontal="right" vertical="center"/>
    </xf>
    <xf numFmtId="167" fontId="70"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82" fillId="0" borderId="109"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vertical="center" wrapText="1"/>
    </xf>
    <xf numFmtId="167" fontId="19" fillId="0" borderId="110" xfId="0" applyNumberFormat="1" applyFont="1" applyFill="1" applyBorder="1" applyAlignment="1" applyProtection="1">
      <alignment horizontal="center" vertical="center" wrapText="1"/>
    </xf>
    <xf numFmtId="0" fontId="19" fillId="41" borderId="12" xfId="0" applyNumberFormat="1" applyFont="1" applyFill="1" applyBorder="1" applyAlignment="1" applyProtection="1">
      <alignment vertical="center" wrapText="1"/>
    </xf>
    <xf numFmtId="0" fontId="70" fillId="41" borderId="0" xfId="0" applyNumberFormat="1" applyFont="1" applyFill="1" applyBorder="1" applyAlignment="1" applyProtection="1">
      <alignment horizontal="center" vertical="center"/>
    </xf>
    <xf numFmtId="167" fontId="70" fillId="41" borderId="0" xfId="0" quotePrefix="1" applyNumberFormat="1" applyFont="1" applyFill="1" applyBorder="1" applyAlignment="1" applyProtection="1">
      <alignment horizontal="center" vertical="center" wrapText="1"/>
    </xf>
    <xf numFmtId="167" fontId="70" fillId="41" borderId="128" xfId="0" applyNumberFormat="1" applyFont="1" applyFill="1" applyBorder="1" applyAlignment="1" applyProtection="1">
      <alignment horizontal="center" vertical="center" wrapText="1"/>
    </xf>
    <xf numFmtId="167" fontId="19" fillId="41" borderId="124" xfId="0" applyNumberFormat="1" applyFont="1" applyFill="1" applyBorder="1" applyAlignment="1" applyProtection="1">
      <alignment vertical="center" wrapText="1"/>
    </xf>
    <xf numFmtId="167" fontId="19" fillId="41" borderId="107" xfId="0" applyNumberFormat="1" applyFont="1" applyFill="1" applyBorder="1" applyAlignment="1" applyProtection="1">
      <alignment vertical="center" wrapText="1"/>
    </xf>
    <xf numFmtId="167" fontId="19" fillId="41" borderId="108" xfId="0" applyNumberFormat="1" applyFont="1" applyFill="1" applyBorder="1" applyAlignment="1" applyProtection="1">
      <alignment vertical="center" wrapText="1"/>
    </xf>
    <xf numFmtId="0" fontId="19" fillId="0" borderId="26" xfId="0" applyNumberFormat="1" applyFont="1" applyFill="1" applyBorder="1" applyAlignment="1" applyProtection="1">
      <alignment vertical="center" wrapText="1"/>
    </xf>
    <xf numFmtId="0" fontId="70" fillId="0" borderId="34" xfId="0" applyNumberFormat="1" applyFont="1" applyFill="1" applyBorder="1" applyAlignment="1" applyProtection="1">
      <alignment horizontal="center" vertical="center"/>
    </xf>
    <xf numFmtId="167" fontId="70" fillId="0" borderId="34" xfId="0" applyNumberFormat="1" applyFont="1" applyFill="1" applyBorder="1" applyAlignment="1" applyProtection="1">
      <alignment horizontal="center" vertical="center" wrapText="1"/>
    </xf>
    <xf numFmtId="167" fontId="70" fillId="0" borderId="34" xfId="0" applyNumberFormat="1" applyFont="1" applyFill="1" applyBorder="1" applyAlignment="1" applyProtection="1">
      <alignment horizontal="right" vertical="center" wrapText="1"/>
    </xf>
    <xf numFmtId="167" fontId="19" fillId="0" borderId="34" xfId="0" applyNumberFormat="1" applyFont="1" applyFill="1" applyBorder="1" applyAlignment="1" applyProtection="1">
      <alignment horizontal="center" vertical="center" wrapText="1"/>
    </xf>
    <xf numFmtId="167" fontId="19" fillId="0" borderId="28"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vertical="center" wrapText="1"/>
    </xf>
    <xf numFmtId="167" fontId="70"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vertical="center"/>
    </xf>
    <xf numFmtId="0" fontId="96" fillId="0" borderId="12" xfId="0" applyNumberFormat="1" applyFont="1" applyFill="1" applyBorder="1" applyAlignment="1" applyProtection="1">
      <alignment vertical="center"/>
    </xf>
    <xf numFmtId="0" fontId="96" fillId="0" borderId="0" xfId="0" applyNumberFormat="1" applyFont="1" applyFill="1" applyBorder="1" applyAlignment="1" applyProtection="1">
      <alignment vertical="center"/>
    </xf>
    <xf numFmtId="0" fontId="96" fillId="0" borderId="13" xfId="0" applyNumberFormat="1" applyFont="1" applyFill="1" applyBorder="1" applyAlignment="1" applyProtection="1">
      <alignment vertical="center"/>
    </xf>
    <xf numFmtId="0" fontId="70" fillId="41" borderId="129" xfId="0" applyNumberFormat="1" applyFont="1" applyFill="1" applyBorder="1" applyAlignment="1" applyProtection="1">
      <alignment horizontal="center" vertical="center" wrapText="1"/>
    </xf>
    <xf numFmtId="167" fontId="19" fillId="0" borderId="109" xfId="0" applyNumberFormat="1" applyFont="1" applyFill="1" applyBorder="1" applyAlignment="1" applyProtection="1">
      <alignment horizontal="center" vertical="center" wrapText="1"/>
    </xf>
    <xf numFmtId="167" fontId="19" fillId="0" borderId="110" xfId="0" quotePrefix="1" applyNumberFormat="1" applyFont="1" applyFill="1" applyBorder="1" applyAlignment="1" applyProtection="1">
      <alignment horizontal="center" vertical="center" wrapText="1"/>
    </xf>
    <xf numFmtId="167" fontId="70" fillId="0" borderId="129" xfId="0" applyNumberFormat="1" applyFont="1" applyFill="1" applyBorder="1" applyAlignment="1" applyProtection="1">
      <alignment horizontal="center" vertical="center" wrapText="1"/>
    </xf>
    <xf numFmtId="167" fontId="19" fillId="0" borderId="129" xfId="0" applyNumberFormat="1" applyFont="1" applyFill="1" applyBorder="1" applyAlignment="1" applyProtection="1">
      <alignment horizontal="center" vertical="center" wrapText="1"/>
    </xf>
    <xf numFmtId="167" fontId="33" fillId="0" borderId="0" xfId="0" applyNumberFormat="1" applyFont="1" applyFill="1" applyBorder="1" applyAlignment="1" applyProtection="1"/>
    <xf numFmtId="167" fontId="19" fillId="0" borderId="123" xfId="0" quotePrefix="1" applyNumberFormat="1" applyFont="1" applyFill="1" applyBorder="1" applyAlignment="1" applyProtection="1">
      <alignment horizontal="center" vertical="center" wrapText="1"/>
    </xf>
    <xf numFmtId="167" fontId="19" fillId="0" borderId="113"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xf numFmtId="0" fontId="70" fillId="0" borderId="129" xfId="0" applyNumberFormat="1" applyFont="1" applyFill="1" applyBorder="1" applyAlignment="1" applyProtection="1">
      <alignment horizontal="right" vertical="center" wrapText="1"/>
    </xf>
    <xf numFmtId="167" fontId="70" fillId="41" borderId="129" xfId="0" applyNumberFormat="1" applyFont="1" applyFill="1" applyBorder="1" applyAlignment="1" applyProtection="1">
      <alignment horizontal="right" vertical="center" wrapText="1"/>
    </xf>
    <xf numFmtId="167" fontId="70" fillId="0" borderId="129" xfId="0" applyNumberFormat="1" applyFont="1" applyFill="1" applyBorder="1" applyAlignment="1" applyProtection="1">
      <alignment horizontal="right" vertical="center" wrapText="1"/>
    </xf>
    <xf numFmtId="167" fontId="70" fillId="41" borderId="129" xfId="0" applyNumberFormat="1" applyFont="1" applyFill="1" applyBorder="1" applyAlignment="1" applyProtection="1">
      <alignment vertical="center" wrapText="1"/>
    </xf>
    <xf numFmtId="167" fontId="70" fillId="41" borderId="19" xfId="0" applyNumberFormat="1" applyFont="1" applyFill="1" applyBorder="1" applyAlignment="1" applyProtection="1">
      <alignment horizontal="right" vertical="center" wrapText="1"/>
    </xf>
    <xf numFmtId="0" fontId="70" fillId="0" borderId="0" xfId="0" applyNumberFormat="1" applyFont="1" applyFill="1" applyBorder="1" applyAlignment="1" applyProtection="1">
      <alignment vertical="center" wrapText="1"/>
    </xf>
    <xf numFmtId="0" fontId="70" fillId="0" borderId="0" xfId="0" applyNumberFormat="1" applyFont="1" applyFill="1" applyBorder="1" applyAlignment="1" applyProtection="1">
      <alignment horizontal="right" vertical="center" wrapText="1"/>
    </xf>
    <xf numFmtId="167" fontId="70" fillId="0" borderId="13" xfId="0" applyNumberFormat="1" applyFont="1" applyFill="1" applyBorder="1" applyAlignment="1" applyProtection="1">
      <alignment horizontal="center" vertical="center" wrapText="1"/>
    </xf>
    <xf numFmtId="0" fontId="70" fillId="41" borderId="42" xfId="0" applyNumberFormat="1" applyFont="1" applyFill="1" applyBorder="1" applyAlignment="1" applyProtection="1">
      <alignment horizontal="right" vertical="center" wrapText="1"/>
    </xf>
    <xf numFmtId="2" fontId="70" fillId="41" borderId="42" xfId="0" applyNumberFormat="1" applyFont="1" applyFill="1" applyBorder="1" applyAlignment="1" applyProtection="1">
      <alignment horizontal="center" vertical="center" wrapText="1"/>
    </xf>
    <xf numFmtId="0" fontId="19" fillId="0" borderId="120" xfId="0" applyNumberFormat="1" applyFont="1" applyFill="1" applyBorder="1" applyAlignment="1" applyProtection="1">
      <alignment horizontal="center" vertical="center" wrapText="1"/>
    </xf>
    <xf numFmtId="0" fontId="19" fillId="0" borderId="118" xfId="0" applyNumberFormat="1" applyFont="1" applyFill="1" applyBorder="1" applyAlignment="1" applyProtection="1">
      <alignment horizontal="center" vertical="center" wrapText="1"/>
    </xf>
    <xf numFmtId="0" fontId="70" fillId="0" borderId="118" xfId="0" applyNumberFormat="1" applyFont="1" applyFill="1" applyBorder="1" applyAlignment="1" applyProtection="1">
      <alignment horizontal="right" vertical="center" wrapText="1"/>
    </xf>
    <xf numFmtId="2" fontId="70" fillId="0" borderId="118" xfId="0" applyNumberFormat="1" applyFont="1" applyFill="1" applyBorder="1" applyAlignment="1" applyProtection="1">
      <alignment horizontal="center" vertical="center" wrapText="1"/>
    </xf>
    <xf numFmtId="167" fontId="70" fillId="0" borderId="118" xfId="0" applyNumberFormat="1" applyFont="1" applyFill="1" applyBorder="1" applyAlignment="1" applyProtection="1">
      <alignment horizontal="center" vertical="center" wrapText="1"/>
    </xf>
    <xf numFmtId="167" fontId="70" fillId="0" borderId="119" xfId="0" applyNumberFormat="1" applyFont="1" applyFill="1" applyBorder="1" applyAlignment="1" applyProtection="1">
      <alignment horizontal="center" vertical="center" wrapText="1"/>
    </xf>
    <xf numFmtId="0" fontId="19" fillId="0" borderId="109" xfId="0" applyNumberFormat="1" applyFont="1" applyFill="1" applyBorder="1" applyAlignment="1" applyProtection="1">
      <alignment horizontal="center" vertical="center" wrapText="1"/>
    </xf>
    <xf numFmtId="0" fontId="19" fillId="0" borderId="110" xfId="0" applyNumberFormat="1" applyFont="1" applyFill="1" applyBorder="1" applyAlignment="1" applyProtection="1">
      <alignment horizontal="center" vertical="center" wrapText="1"/>
    </xf>
    <xf numFmtId="2" fontId="19" fillId="0" borderId="128"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vertical="center" wrapText="1"/>
    </xf>
    <xf numFmtId="0" fontId="19" fillId="0" borderId="107" xfId="0" applyNumberFormat="1" applyFont="1" applyFill="1" applyBorder="1" applyAlignment="1" applyProtection="1">
      <alignment vertical="center" wrapText="1"/>
    </xf>
    <xf numFmtId="0" fontId="19" fillId="0" borderId="108" xfId="0" applyNumberFormat="1" applyFont="1" applyFill="1" applyBorder="1" applyAlignment="1" applyProtection="1">
      <alignment vertical="center" wrapText="1"/>
    </xf>
    <xf numFmtId="0" fontId="70" fillId="0" borderId="26" xfId="0" applyNumberFormat="1" applyFont="1" applyFill="1" applyBorder="1" applyAlignment="1" applyProtection="1">
      <alignment vertical="center" wrapText="1"/>
    </xf>
    <xf numFmtId="0" fontId="70" fillId="0" borderId="34" xfId="0" applyNumberFormat="1" applyFont="1" applyFill="1" applyBorder="1" applyAlignment="1" applyProtection="1">
      <alignment vertical="center" wrapText="1"/>
    </xf>
    <xf numFmtId="0" fontId="70" fillId="0" borderId="34" xfId="0" applyNumberFormat="1" applyFont="1" applyFill="1" applyBorder="1" applyAlignment="1" applyProtection="1">
      <alignment horizontal="right" vertical="center" wrapText="1"/>
    </xf>
    <xf numFmtId="167" fontId="70" fillId="0" borderId="28"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xf>
    <xf numFmtId="0" fontId="19" fillId="0" borderId="63" xfId="0" applyNumberFormat="1" applyFont="1" applyFill="1" applyBorder="1" applyAlignment="1" applyProtection="1">
      <alignment horizontal="center" vertical="center" wrapText="1"/>
    </xf>
    <xf numFmtId="0" fontId="99" fillId="0" borderId="0" xfId="0" applyNumberFormat="1" applyFont="1" applyFill="1" applyBorder="1" applyAlignment="1" applyProtection="1"/>
    <xf numFmtId="167" fontId="70" fillId="0" borderId="12" xfId="0" applyNumberFormat="1" applyFont="1" applyFill="1" applyBorder="1" applyAlignment="1" applyProtection="1">
      <alignment horizontal="center" vertical="center" wrapText="1"/>
    </xf>
    <xf numFmtId="167" fontId="19" fillId="0" borderId="128" xfId="0" applyNumberFormat="1" applyFont="1" applyFill="1" applyBorder="1" applyAlignment="1" applyProtection="1">
      <alignment horizontal="center" vertical="center" wrapText="1"/>
    </xf>
    <xf numFmtId="167" fontId="19" fillId="0" borderId="124" xfId="0" applyNumberFormat="1" applyFont="1" applyFill="1" applyBorder="1" applyAlignment="1" applyProtection="1">
      <alignment horizontal="center" vertical="center" wrapText="1"/>
    </xf>
    <xf numFmtId="167" fontId="19" fillId="41" borderId="74" xfId="0" applyNumberFormat="1" applyFont="1" applyFill="1" applyBorder="1" applyAlignment="1" applyProtection="1">
      <alignment horizontal="center" vertical="center" wrapText="1"/>
    </xf>
    <xf numFmtId="167" fontId="19" fillId="41" borderId="116" xfId="0" applyNumberFormat="1" applyFont="1" applyFill="1" applyBorder="1" applyAlignment="1" applyProtection="1">
      <alignment horizontal="center" vertical="center" wrapText="1"/>
    </xf>
    <xf numFmtId="167" fontId="70" fillId="41" borderId="116" xfId="0" quotePrefix="1" applyNumberFormat="1" applyFont="1" applyFill="1" applyBorder="1" applyAlignment="1" applyProtection="1">
      <alignment horizontal="center" vertical="center" wrapText="1"/>
    </xf>
    <xf numFmtId="167" fontId="70" fillId="41" borderId="116" xfId="0" applyNumberFormat="1" applyFont="1" applyFill="1" applyBorder="1" applyAlignment="1" applyProtection="1">
      <alignment horizontal="center" vertical="center" wrapText="1"/>
    </xf>
    <xf numFmtId="0" fontId="70" fillId="0" borderId="26" xfId="0" applyNumberFormat="1" applyFont="1" applyFill="1" applyBorder="1" applyAlignment="1" applyProtection="1">
      <alignment horizontal="right" vertical="center" wrapText="1"/>
    </xf>
    <xf numFmtId="0" fontId="70" fillId="0" borderId="34" xfId="0" applyNumberFormat="1" applyFont="1" applyFill="1" applyBorder="1" applyAlignment="1" applyProtection="1">
      <alignment horizontal="left" vertical="center"/>
    </xf>
    <xf numFmtId="0" fontId="70" fillId="0" borderId="28" xfId="0" applyNumberFormat="1" applyFont="1" applyFill="1" applyBorder="1" applyAlignment="1" applyProtection="1">
      <alignment horizontal="left" vertical="center"/>
    </xf>
    <xf numFmtId="0" fontId="70" fillId="0" borderId="12" xfId="0"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110" xfId="0" applyNumberFormat="1" applyFont="1" applyFill="1" applyBorder="1" applyAlignment="1" applyProtection="1">
      <alignment horizontal="right" vertical="center" wrapText="1"/>
    </xf>
    <xf numFmtId="0" fontId="19" fillId="0" borderId="124" xfId="0" applyNumberFormat="1" applyFont="1" applyFill="1" applyBorder="1" applyAlignment="1" applyProtection="1">
      <alignment horizontal="center" vertical="center" wrapText="1"/>
    </xf>
    <xf numFmtId="0" fontId="19" fillId="41" borderId="40" xfId="0" applyNumberFormat="1" applyFont="1" applyFill="1" applyBorder="1" applyAlignment="1" applyProtection="1">
      <alignment vertical="center" wrapText="1"/>
    </xf>
    <xf numFmtId="0" fontId="19" fillId="41" borderId="59" xfId="0" applyNumberFormat="1" applyFont="1" applyFill="1" applyBorder="1" applyAlignment="1" applyProtection="1">
      <alignment vertical="center" wrapText="1"/>
    </xf>
    <xf numFmtId="2" fontId="19" fillId="0" borderId="23" xfId="0" applyNumberFormat="1" applyFont="1" applyFill="1" applyBorder="1" applyAlignment="1" applyProtection="1">
      <alignment horizontal="center" vertical="center" wrapText="1"/>
    </xf>
    <xf numFmtId="2" fontId="19" fillId="0" borderId="14" xfId="0" applyNumberFormat="1" applyFont="1" applyFill="1" applyBorder="1" applyAlignment="1" applyProtection="1">
      <alignment horizontal="center" vertical="center" wrapText="1"/>
    </xf>
    <xf numFmtId="2" fontId="19" fillId="0" borderId="42" xfId="0" applyNumberFormat="1" applyFont="1" applyFill="1" applyBorder="1" applyAlignment="1" applyProtection="1">
      <alignment vertical="center" wrapText="1"/>
    </xf>
    <xf numFmtId="0" fontId="70" fillId="41" borderId="40" xfId="0" applyNumberFormat="1" applyFont="1" applyFill="1" applyBorder="1" applyAlignment="1" applyProtection="1">
      <alignment vertical="center" wrapText="1"/>
    </xf>
    <xf numFmtId="0" fontId="70" fillId="41" borderId="59" xfId="0" applyNumberFormat="1" applyFont="1" applyFill="1" applyBorder="1" applyAlignment="1" applyProtection="1">
      <alignment vertical="center" wrapText="1"/>
    </xf>
    <xf numFmtId="167" fontId="19" fillId="0" borderId="111" xfId="0" applyNumberFormat="1" applyFont="1" applyFill="1" applyBorder="1" applyAlignment="1" applyProtection="1">
      <alignment horizontal="center" vertical="center" wrapText="1"/>
    </xf>
    <xf numFmtId="167" fontId="19" fillId="0" borderId="132" xfId="0" quotePrefix="1" applyNumberFormat="1" applyFont="1" applyFill="1" applyBorder="1" applyAlignment="1" applyProtection="1">
      <alignment horizontal="center" vertical="center" wrapText="1"/>
    </xf>
    <xf numFmtId="167" fontId="19" fillId="0" borderId="131" xfId="0" applyNumberFormat="1" applyFont="1" applyFill="1" applyBorder="1" applyAlignment="1" applyProtection="1">
      <alignment horizontal="center" vertical="center" wrapText="1"/>
    </xf>
    <xf numFmtId="167" fontId="19" fillId="0" borderId="128" xfId="0" quotePrefix="1" applyNumberFormat="1" applyFont="1" applyFill="1" applyBorder="1" applyAlignment="1" applyProtection="1">
      <alignment horizontal="center" vertical="center" wrapText="1"/>
    </xf>
    <xf numFmtId="167" fontId="70" fillId="0" borderId="133"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xf numFmtId="167" fontId="70" fillId="41" borderId="129" xfId="0" applyNumberFormat="1" applyFont="1" applyFill="1" applyBorder="1" applyAlignment="1" applyProtection="1">
      <alignment horizontal="center" vertical="center" wrapText="1"/>
    </xf>
    <xf numFmtId="0" fontId="70" fillId="0" borderId="129" xfId="0" applyNumberFormat="1" applyFont="1" applyFill="1" applyBorder="1" applyAlignment="1" applyProtection="1">
      <alignment vertical="center" wrapText="1"/>
    </xf>
    <xf numFmtId="167" fontId="52" fillId="0" borderId="0" xfId="0" applyNumberFormat="1" applyFont="1" applyFill="1" applyBorder="1" applyAlignment="1" applyProtection="1"/>
    <xf numFmtId="0" fontId="70" fillId="35" borderId="36" xfId="0" applyNumberFormat="1" applyFont="1" applyFill="1" applyBorder="1" applyAlignment="1" applyProtection="1">
      <alignment horizontal="right" vertical="center" wrapText="1"/>
    </xf>
    <xf numFmtId="0" fontId="97" fillId="0" borderId="0" xfId="0" applyNumberFormat="1" applyFont="1" applyFill="1" applyBorder="1" applyAlignment="1" applyProtection="1">
      <alignment horizontal="center" vertical="center"/>
    </xf>
    <xf numFmtId="167" fontId="19" fillId="42" borderId="109" xfId="0" quotePrefix="1" applyNumberFormat="1" applyFont="1" applyFill="1" applyBorder="1" applyAlignment="1" applyProtection="1">
      <alignment horizontal="center" vertical="center" wrapText="1"/>
    </xf>
    <xf numFmtId="167" fontId="19" fillId="42" borderId="110" xfId="0" applyNumberFormat="1" applyFont="1" applyFill="1" applyBorder="1" applyAlignment="1" applyProtection="1">
      <alignment horizontal="center" vertical="center" wrapText="1"/>
    </xf>
    <xf numFmtId="167" fontId="70" fillId="42" borderId="129" xfId="0" applyNumberFormat="1" applyFont="1" applyFill="1" applyBorder="1" applyAlignment="1" applyProtection="1">
      <alignment horizontal="center" vertical="center" wrapText="1"/>
    </xf>
    <xf numFmtId="167" fontId="19" fillId="42" borderId="111" xfId="0" applyNumberFormat="1" applyFont="1" applyFill="1" applyBorder="1" applyAlignment="1" applyProtection="1">
      <alignment horizontal="center" vertical="center" wrapText="1"/>
    </xf>
    <xf numFmtId="167" fontId="19" fillId="42" borderId="110" xfId="0" quotePrefix="1" applyNumberFormat="1" applyFont="1" applyFill="1" applyBorder="1" applyAlignment="1" applyProtection="1">
      <alignment horizontal="center" vertical="center" wrapText="1"/>
    </xf>
    <xf numFmtId="167" fontId="19" fillId="42" borderId="132" xfId="0" quotePrefix="1" applyNumberFormat="1" applyFont="1" applyFill="1" applyBorder="1" applyAlignment="1" applyProtection="1">
      <alignment horizontal="center" vertical="center" wrapText="1"/>
    </xf>
    <xf numFmtId="167" fontId="19" fillId="42" borderId="131" xfId="0" applyNumberFormat="1" applyFont="1" applyFill="1" applyBorder="1" applyAlignment="1" applyProtection="1">
      <alignment horizontal="center" vertical="center" wrapText="1"/>
    </xf>
    <xf numFmtId="167" fontId="19" fillId="42" borderId="128" xfId="0" applyNumberFormat="1" applyFont="1" applyFill="1" applyBorder="1" applyAlignment="1" applyProtection="1">
      <alignment horizontal="center" vertical="center" wrapText="1"/>
    </xf>
    <xf numFmtId="167" fontId="19" fillId="42" borderId="128" xfId="0" quotePrefix="1" applyNumberFormat="1" applyFont="1" applyFill="1" applyBorder="1" applyAlignment="1" applyProtection="1">
      <alignment horizontal="center" vertical="center" wrapText="1"/>
    </xf>
    <xf numFmtId="167" fontId="70" fillId="42" borderId="133" xfId="0" applyNumberFormat="1" applyFont="1" applyFill="1" applyBorder="1" applyAlignment="1" applyProtection="1">
      <alignment horizontal="center" vertical="center" wrapText="1"/>
    </xf>
    <xf numFmtId="167" fontId="19" fillId="42" borderId="113" xfId="0" applyNumberFormat="1" applyFont="1" applyFill="1" applyBorder="1" applyAlignment="1" applyProtection="1">
      <alignment horizontal="center" vertical="center" wrapText="1"/>
    </xf>
    <xf numFmtId="0" fontId="100" fillId="0" borderId="0" xfId="0" applyNumberFormat="1" applyFont="1" applyFill="1" applyBorder="1" applyAlignment="1" applyProtection="1"/>
    <xf numFmtId="0" fontId="70" fillId="42" borderId="129" xfId="0" applyNumberFormat="1" applyFont="1" applyFill="1" applyBorder="1" applyAlignment="1" applyProtection="1">
      <alignment vertical="center" wrapText="1"/>
    </xf>
    <xf numFmtId="0" fontId="70" fillId="0" borderId="55"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xf>
    <xf numFmtId="167" fontId="70" fillId="41" borderId="19"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xf numFmtId="167" fontId="70" fillId="41" borderId="130" xfId="0" applyNumberFormat="1" applyFont="1" applyFill="1" applyBorder="1" applyAlignment="1" applyProtection="1">
      <alignment horizontal="right" vertical="center" wrapText="1"/>
    </xf>
    <xf numFmtId="167" fontId="70" fillId="41" borderId="107" xfId="0" applyNumberFormat="1" applyFont="1" applyFill="1" applyBorder="1" applyAlignment="1" applyProtection="1">
      <alignment horizontal="right" vertical="center" wrapText="1"/>
    </xf>
    <xf numFmtId="167" fontId="70" fillId="41" borderId="108" xfId="0" applyNumberFormat="1" applyFont="1" applyFill="1" applyBorder="1" applyAlignment="1" applyProtection="1">
      <alignment horizontal="center" vertical="center" wrapText="1"/>
    </xf>
    <xf numFmtId="0" fontId="70" fillId="0" borderId="120" xfId="0" applyNumberFormat="1" applyFont="1" applyFill="1" applyBorder="1" applyAlignment="1" applyProtection="1">
      <alignment vertical="center" wrapText="1"/>
    </xf>
    <xf numFmtId="0" fontId="70" fillId="0" borderId="118" xfId="0" applyNumberFormat="1" applyFont="1" applyFill="1" applyBorder="1" applyAlignment="1" applyProtection="1">
      <alignment vertical="center" wrapText="1"/>
    </xf>
    <xf numFmtId="167" fontId="70" fillId="0" borderId="119" xfId="0" applyNumberFormat="1" applyFont="1" applyFill="1" applyBorder="1" applyAlignment="1" applyProtection="1">
      <alignment horizontal="right" vertical="center" wrapText="1"/>
    </xf>
    <xf numFmtId="0" fontId="101" fillId="0" borderId="0" xfId="0" applyNumberFormat="1" applyFont="1" applyFill="1" applyBorder="1" applyAlignment="1" applyProtection="1"/>
    <xf numFmtId="167" fontId="19" fillId="0" borderId="120" xfId="0" applyNumberFormat="1" applyFont="1" applyFill="1" applyBorder="1" applyAlignment="1" applyProtection="1">
      <alignment horizontal="center" vertical="center" wrapText="1"/>
    </xf>
    <xf numFmtId="167" fontId="19" fillId="0" borderId="118" xfId="0" applyNumberFormat="1" applyFont="1" applyFill="1" applyBorder="1" applyAlignment="1" applyProtection="1">
      <alignment horizontal="center" vertical="center" wrapText="1"/>
    </xf>
    <xf numFmtId="167" fontId="19" fillId="0" borderId="119" xfId="0" applyNumberFormat="1" applyFont="1" applyFill="1" applyBorder="1" applyAlignment="1" applyProtection="1">
      <alignment horizontal="center" vertical="center" wrapText="1"/>
    </xf>
    <xf numFmtId="167" fontId="70" fillId="41" borderId="14" xfId="0" applyNumberFormat="1" applyFont="1" applyFill="1" applyBorder="1" applyAlignment="1" applyProtection="1">
      <alignment horizontal="right" vertical="center" wrapText="1"/>
    </xf>
    <xf numFmtId="0" fontId="70" fillId="0" borderId="28" xfId="0" applyNumberFormat="1" applyFont="1" applyFill="1" applyBorder="1" applyAlignment="1" applyProtection="1">
      <alignment vertical="center" wrapText="1"/>
    </xf>
    <xf numFmtId="167" fontId="70" fillId="0" borderId="13" xfId="0" applyNumberFormat="1" applyFont="1" applyFill="1" applyBorder="1" applyAlignment="1" applyProtection="1">
      <alignment horizontal="right" vertical="center" wrapText="1"/>
    </xf>
    <xf numFmtId="0" fontId="70" fillId="0" borderId="12" xfId="0" applyNumberFormat="1" applyFont="1" applyFill="1" applyBorder="1" applyAlignment="1" applyProtection="1">
      <alignment horizontal="right" vertical="center" wrapText="1"/>
    </xf>
    <xf numFmtId="0" fontId="70" fillId="0" borderId="13" xfId="0" applyNumberFormat="1" applyFont="1" applyFill="1" applyBorder="1" applyAlignment="1" applyProtection="1">
      <alignment horizontal="center" vertical="center" wrapText="1"/>
    </xf>
    <xf numFmtId="0" fontId="70" fillId="41" borderId="116" xfId="0" applyNumberFormat="1" applyFont="1" applyFill="1" applyBorder="1" applyAlignment="1" applyProtection="1">
      <alignment vertical="center" wrapText="1"/>
    </xf>
    <xf numFmtId="167" fontId="70" fillId="41" borderId="107" xfId="0" quotePrefix="1" applyNumberFormat="1" applyFont="1" applyFill="1" applyBorder="1" applyAlignment="1" applyProtection="1">
      <alignment horizontal="right" vertical="center" wrapText="1"/>
    </xf>
    <xf numFmtId="167" fontId="70" fillId="41" borderId="116" xfId="0" quotePrefix="1" applyNumberFormat="1" applyFont="1" applyFill="1" applyBorder="1" applyAlignment="1" applyProtection="1">
      <alignment horizontal="right" vertical="center" wrapText="1"/>
    </xf>
    <xf numFmtId="2" fontId="19" fillId="0" borderId="130" xfId="0" applyNumberFormat="1" applyFont="1" applyFill="1" applyBorder="1" applyAlignment="1" applyProtection="1">
      <alignment horizontal="center" vertical="center" wrapText="1"/>
    </xf>
    <xf numFmtId="2" fontId="19" fillId="0" borderId="107" xfId="0" applyNumberFormat="1" applyFont="1" applyFill="1" applyBorder="1" applyAlignment="1" applyProtection="1">
      <alignment horizontal="center" vertical="center" wrapText="1"/>
    </xf>
    <xf numFmtId="2" fontId="19" fillId="0" borderId="108"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167" fontId="70" fillId="0" borderId="34" xfId="0" applyNumberFormat="1" applyFont="1" applyFill="1" applyBorder="1" applyAlignment="1" applyProtection="1">
      <alignment horizontal="justify" vertical="center" wrapText="1"/>
    </xf>
    <xf numFmtId="167" fontId="70" fillId="0" borderId="28" xfId="0" applyNumberFormat="1" applyFont="1" applyFill="1" applyBorder="1" applyAlignment="1" applyProtection="1">
      <alignment horizontal="justify" vertical="center" wrapText="1"/>
    </xf>
    <xf numFmtId="167" fontId="19" fillId="0" borderId="12" xfId="0" applyNumberFormat="1" applyFont="1" applyFill="1" applyBorder="1" applyAlignment="1" applyProtection="1">
      <alignment horizontal="center" vertical="center" wrapText="1"/>
    </xf>
    <xf numFmtId="167" fontId="70" fillId="41" borderId="42" xfId="0" applyNumberFormat="1" applyFont="1" applyFill="1" applyBorder="1" applyAlignment="1" applyProtection="1">
      <alignment horizontal="center" vertical="center" wrapText="1"/>
    </xf>
    <xf numFmtId="0" fontId="70" fillId="41" borderId="109" xfId="0" applyNumberFormat="1" applyFont="1" applyFill="1" applyBorder="1" applyAlignment="1" applyProtection="1">
      <alignment horizontal="center" vertical="center"/>
    </xf>
    <xf numFmtId="0" fontId="70" fillId="41" borderId="110" xfId="0" applyNumberFormat="1" applyFont="1" applyFill="1" applyBorder="1" applyAlignment="1" applyProtection="1">
      <alignment horizontal="center" vertical="center"/>
    </xf>
    <xf numFmtId="0" fontId="19" fillId="0" borderId="109" xfId="0" applyNumberFormat="1" applyFont="1" applyFill="1" applyBorder="1" applyAlignment="1" applyProtection="1">
      <alignment horizontal="center" vertical="center"/>
    </xf>
    <xf numFmtId="0" fontId="19" fillId="0" borderId="110" xfId="0" applyNumberFormat="1" applyFont="1" applyFill="1" applyBorder="1" applyAlignment="1" applyProtection="1">
      <alignment horizontal="center" vertical="center"/>
    </xf>
    <xf numFmtId="0" fontId="70" fillId="41" borderId="74" xfId="0" quotePrefix="1" applyNumberFormat="1" applyFont="1" applyFill="1" applyBorder="1" applyAlignment="1" applyProtection="1">
      <alignment horizontal="right" vertical="center" wrapText="1"/>
    </xf>
    <xf numFmtId="0" fontId="19" fillId="0" borderId="63"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63" xfId="0" applyNumberFormat="1" applyFont="1" applyFill="1" applyBorder="1" applyAlignment="1" applyProtection="1">
      <alignment vertical="center"/>
    </xf>
    <xf numFmtId="0" fontId="102" fillId="41" borderId="113" xfId="0" applyNumberFormat="1" applyFont="1" applyFill="1" applyBorder="1" applyAlignment="1" applyProtection="1">
      <alignment vertical="center"/>
    </xf>
    <xf numFmtId="0" fontId="102" fillId="41" borderId="114" xfId="0" applyNumberFormat="1" applyFont="1" applyFill="1" applyBorder="1" applyAlignment="1" applyProtection="1">
      <alignment vertical="center"/>
    </xf>
    <xf numFmtId="0" fontId="70" fillId="41" borderId="112" xfId="0" applyNumberFormat="1" applyFont="1" applyFill="1" applyBorder="1" applyAlignment="1" applyProtection="1">
      <alignment horizontal="center" vertical="center"/>
    </xf>
    <xf numFmtId="0" fontId="19" fillId="0" borderId="112" xfId="0" applyNumberFormat="1" applyFont="1" applyFill="1" applyBorder="1" applyAlignment="1" applyProtection="1">
      <alignment horizontal="center" vertical="center"/>
    </xf>
    <xf numFmtId="0" fontId="19" fillId="0" borderId="107" xfId="0" applyNumberFormat="1" applyFont="1" applyFill="1" applyBorder="1" applyAlignment="1" applyProtection="1">
      <alignment vertical="center"/>
    </xf>
    <xf numFmtId="0" fontId="19" fillId="0" borderId="108" xfId="0" applyNumberFormat="1" applyFont="1" applyFill="1" applyBorder="1" applyAlignment="1" applyProtection="1">
      <alignment vertical="center"/>
    </xf>
    <xf numFmtId="0" fontId="19" fillId="0" borderId="124" xfId="0" applyNumberFormat="1" applyFont="1" applyFill="1" applyBorder="1" applyAlignment="1" applyProtection="1">
      <alignment horizontal="center" vertical="center"/>
    </xf>
    <xf numFmtId="0" fontId="19" fillId="0" borderId="130" xfId="0" applyNumberFormat="1" applyFont="1" applyFill="1" applyBorder="1" applyAlignment="1" applyProtection="1">
      <alignment horizontal="center" vertical="center"/>
    </xf>
    <xf numFmtId="0" fontId="19" fillId="0" borderId="26" xfId="0" applyNumberFormat="1" applyFont="1" applyFill="1" applyBorder="1" applyAlignment="1" applyProtection="1">
      <alignment vertical="center"/>
    </xf>
    <xf numFmtId="0" fontId="19" fillId="0" borderId="34" xfId="0" applyNumberFormat="1" applyFont="1" applyFill="1" applyBorder="1" applyAlignment="1" applyProtection="1">
      <alignment vertical="center"/>
    </xf>
    <xf numFmtId="0" fontId="19" fillId="0" borderId="124" xfId="0" applyNumberFormat="1" applyFont="1" applyFill="1" applyBorder="1" applyAlignment="1" applyProtection="1">
      <alignment vertical="center"/>
    </xf>
    <xf numFmtId="0" fontId="19" fillId="0" borderId="128" xfId="0" applyNumberFormat="1" applyFont="1" applyFill="1" applyBorder="1" applyAlignment="1" applyProtection="1">
      <alignment horizontal="center" vertical="center"/>
    </xf>
    <xf numFmtId="0" fontId="19" fillId="0" borderId="28" xfId="0" applyNumberFormat="1" applyFont="1" applyFill="1" applyBorder="1" applyAlignment="1" applyProtection="1">
      <alignment vertical="center"/>
    </xf>
    <xf numFmtId="0" fontId="70" fillId="41" borderId="112" xfId="0" applyNumberFormat="1" applyFont="1" applyFill="1" applyBorder="1" applyAlignment="1" applyProtection="1">
      <alignment vertical="center"/>
    </xf>
    <xf numFmtId="0" fontId="70" fillId="41" borderId="113" xfId="0" applyNumberFormat="1" applyFont="1" applyFill="1" applyBorder="1" applyAlignment="1" applyProtection="1">
      <alignment vertical="center"/>
    </xf>
    <xf numFmtId="2" fontId="19" fillId="0" borderId="110" xfId="0" applyNumberFormat="1" applyFont="1" applyFill="1" applyBorder="1" applyAlignment="1" applyProtection="1">
      <alignment horizontal="center" vertical="center"/>
    </xf>
    <xf numFmtId="0" fontId="70" fillId="41" borderId="109" xfId="0" quotePrefix="1" applyNumberFormat="1" applyFont="1" applyFill="1" applyBorder="1" applyAlignment="1" applyProtection="1">
      <alignment horizontal="right" vertical="center" wrapText="1"/>
    </xf>
    <xf numFmtId="167" fontId="70" fillId="41" borderId="110" xfId="0" applyNumberFormat="1" applyFont="1" applyFill="1" applyBorder="1" applyAlignment="1" applyProtection="1">
      <alignment horizontal="center" vertical="center" wrapText="1"/>
    </xf>
    <xf numFmtId="0" fontId="70" fillId="0" borderId="110" xfId="0" applyNumberFormat="1" applyFont="1" applyFill="1" applyBorder="1" applyAlignment="1" applyProtection="1">
      <alignment horizontal="center" vertical="center" wrapText="1"/>
    </xf>
    <xf numFmtId="167" fontId="70" fillId="41" borderId="40" xfId="0" applyNumberFormat="1" applyFont="1" applyFill="1" applyBorder="1" applyAlignment="1" applyProtection="1">
      <alignment horizontal="right" vertical="center" wrapText="1"/>
    </xf>
    <xf numFmtId="0" fontId="70" fillId="0" borderId="120" xfId="0" applyNumberFormat="1" applyFont="1" applyFill="1" applyBorder="1" applyAlignment="1" applyProtection="1">
      <alignment horizontal="right" vertical="center" wrapText="1"/>
    </xf>
    <xf numFmtId="0" fontId="70" fillId="0" borderId="118" xfId="0" applyNumberFormat="1" applyFont="1" applyFill="1" applyBorder="1" applyAlignment="1" applyProtection="1">
      <alignment horizontal="center" vertical="center" wrapText="1"/>
    </xf>
    <xf numFmtId="0" fontId="70" fillId="0" borderId="119" xfId="0" applyNumberFormat="1" applyFont="1" applyFill="1" applyBorder="1" applyAlignment="1" applyProtection="1">
      <alignment horizontal="center" vertical="center" wrapText="1"/>
    </xf>
    <xf numFmtId="0" fontId="70" fillId="0" borderId="109" xfId="0" applyNumberFormat="1" applyFont="1" applyFill="1" applyBorder="1" applyAlignment="1" applyProtection="1">
      <alignment horizontal="center" vertical="center" wrapText="1"/>
    </xf>
    <xf numFmtId="0" fontId="70" fillId="41" borderId="23" xfId="0" applyNumberFormat="1" applyFont="1" applyFill="1" applyBorder="1" applyAlignment="1" applyProtection="1">
      <alignment horizontal="right" vertical="center" wrapText="1"/>
    </xf>
    <xf numFmtId="167" fontId="19" fillId="41" borderId="40" xfId="0" applyNumberFormat="1" applyFont="1" applyFill="1" applyBorder="1" applyAlignment="1" applyProtection="1">
      <alignment vertical="center" wrapText="1"/>
    </xf>
    <xf numFmtId="167" fontId="19" fillId="41" borderId="59" xfId="0" applyNumberFormat="1" applyFont="1" applyFill="1" applyBorder="1" applyAlignment="1" applyProtection="1">
      <alignment vertical="center" wrapText="1"/>
    </xf>
    <xf numFmtId="2" fontId="70"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3" xfId="0" applyNumberFormat="1" applyFont="1" applyFill="1" applyBorder="1" applyAlignment="1" applyProtection="1">
      <alignment vertical="center" wrapText="1"/>
    </xf>
    <xf numFmtId="0" fontId="70" fillId="41" borderId="110" xfId="0" applyNumberFormat="1" applyFont="1" applyFill="1" applyBorder="1" applyAlignment="1" applyProtection="1">
      <alignment horizontal="right" vertical="center"/>
    </xf>
    <xf numFmtId="0" fontId="19" fillId="0" borderId="110" xfId="0" applyNumberFormat="1" applyFont="1" applyFill="1" applyBorder="1" applyAlignment="1" applyProtection="1">
      <alignment vertical="center"/>
    </xf>
    <xf numFmtId="2" fontId="70" fillId="0" borderId="110" xfId="0" applyNumberFormat="1" applyFont="1" applyFill="1" applyBorder="1" applyAlignment="1" applyProtection="1">
      <alignment vertical="center"/>
    </xf>
    <xf numFmtId="2" fontId="70" fillId="41" borderId="14" xfId="0" applyNumberFormat="1" applyFont="1" applyFill="1" applyBorder="1" applyAlignment="1" applyProtection="1">
      <alignment vertical="center"/>
    </xf>
    <xf numFmtId="0" fontId="70" fillId="0" borderId="118" xfId="0" applyNumberFormat="1" applyFont="1" applyFill="1" applyBorder="1" applyAlignment="1" applyProtection="1">
      <alignment vertical="center"/>
    </xf>
    <xf numFmtId="0" fontId="70" fillId="0" borderId="119" xfId="0" applyNumberFormat="1" applyFont="1" applyFill="1" applyBorder="1" applyAlignment="1" applyProtection="1">
      <alignment vertical="center"/>
    </xf>
    <xf numFmtId="0" fontId="70" fillId="41" borderId="118" xfId="0" applyNumberFormat="1" applyFont="1" applyFill="1" applyBorder="1" applyAlignment="1" applyProtection="1">
      <alignment vertical="center"/>
    </xf>
    <xf numFmtId="0" fontId="70" fillId="41" borderId="119" xfId="0" applyNumberFormat="1" applyFont="1" applyFill="1" applyBorder="1" applyAlignment="1" applyProtection="1">
      <alignment vertical="center"/>
    </xf>
    <xf numFmtId="167" fontId="19" fillId="0" borderId="128" xfId="0" applyNumberFormat="1" applyFont="1" applyFill="1" applyBorder="1" applyAlignment="1" applyProtection="1">
      <alignment horizontal="right" vertical="center" wrapText="1"/>
    </xf>
    <xf numFmtId="1" fontId="19" fillId="0" borderId="110" xfId="0" applyNumberFormat="1" applyFont="1" applyFill="1" applyBorder="1" applyAlignment="1" applyProtection="1">
      <alignment horizontal="right" vertical="center" wrapText="1"/>
    </xf>
    <xf numFmtId="0" fontId="70" fillId="41" borderId="74" xfId="0" applyNumberFormat="1" applyFont="1" applyFill="1" applyBorder="1" applyAlignment="1" applyProtection="1">
      <alignment horizontal="right" vertical="center" wrapText="1"/>
    </xf>
    <xf numFmtId="174" fontId="70" fillId="41" borderId="40" xfId="0" applyNumberFormat="1" applyFont="1" applyFill="1" applyBorder="1" applyAlignment="1" applyProtection="1">
      <alignment horizontal="right" vertical="center" wrapText="1"/>
    </xf>
    <xf numFmtId="167" fontId="70" fillId="41" borderId="14" xfId="0" applyNumberFormat="1" applyFont="1" applyFill="1" applyBorder="1" applyAlignment="1" applyProtection="1">
      <alignment vertical="center" wrapText="1"/>
    </xf>
    <xf numFmtId="0" fontId="19" fillId="0" borderId="17" xfId="0" applyNumberFormat="1" applyFont="1" applyFill="1" applyBorder="1" applyAlignment="1" applyProtection="1">
      <alignment horizontal="center" vertical="center" wrapText="1"/>
    </xf>
    <xf numFmtId="1" fontId="19" fillId="0" borderId="60" xfId="0" applyNumberFormat="1" applyFont="1" applyFill="1" applyBorder="1" applyAlignment="1" applyProtection="1">
      <alignment horizontal="center" vertical="center"/>
    </xf>
    <xf numFmtId="1" fontId="19" fillId="0" borderId="111" xfId="0" applyNumberFormat="1" applyFont="1" applyFill="1" applyBorder="1" applyAlignment="1" applyProtection="1">
      <alignment horizontal="center" vertical="center"/>
    </xf>
    <xf numFmtId="0" fontId="70" fillId="41" borderId="74" xfId="0" applyNumberFormat="1" applyFont="1" applyFill="1" applyBorder="1" applyAlignment="1" applyProtection="1">
      <alignment vertical="center" wrapText="1"/>
    </xf>
    <xf numFmtId="0" fontId="70" fillId="41" borderId="116" xfId="0" applyNumberFormat="1" applyFont="1" applyFill="1" applyBorder="1" applyAlignment="1" applyProtection="1">
      <alignment vertical="center"/>
    </xf>
    <xf numFmtId="0" fontId="70" fillId="41" borderId="59" xfId="0" applyNumberFormat="1" applyFont="1" applyFill="1" applyBorder="1" applyAlignment="1" applyProtection="1">
      <alignment vertical="center"/>
    </xf>
    <xf numFmtId="0" fontId="70" fillId="35" borderId="38" xfId="0" applyNumberFormat="1" applyFont="1" applyFill="1" applyBorder="1" applyAlignment="1" applyProtection="1">
      <alignment horizontal="left" vertical="center"/>
    </xf>
    <xf numFmtId="0" fontId="70" fillId="35" borderId="43" xfId="0" applyNumberFormat="1" applyFont="1" applyFill="1" applyBorder="1" applyAlignment="1" applyProtection="1">
      <alignment horizontal="left" vertical="center"/>
    </xf>
    <xf numFmtId="0" fontId="70" fillId="35" borderId="56"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xf numFmtId="0" fontId="10" fillId="0" borderId="55" xfId="0" applyFont="1" applyBorder="1" applyAlignment="1">
      <alignment horizontal="left" vertical="center" wrapText="1"/>
    </xf>
    <xf numFmtId="0" fontId="19" fillId="0" borderId="6" xfId="0" applyNumberFormat="1" applyFont="1" applyFill="1" applyBorder="1" applyAlignment="1" applyProtection="1">
      <alignment horizontal="center" vertical="center"/>
    </xf>
    <xf numFmtId="0" fontId="70" fillId="41" borderId="24"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70" fillId="41" borderId="23" xfId="0" quotePrefix="1" applyNumberFormat="1" applyFont="1" applyFill="1" applyBorder="1" applyAlignment="1" applyProtection="1">
      <alignment horizontal="right" vertical="center" wrapText="1"/>
    </xf>
    <xf numFmtId="0" fontId="67" fillId="0" borderId="0" xfId="0" applyNumberFormat="1" applyFont="1" applyFill="1" applyBorder="1" applyAlignment="1" applyProtection="1"/>
    <xf numFmtId="0" fontId="19" fillId="0" borderId="109" xfId="0" applyNumberFormat="1" applyFont="1" applyFill="1" applyBorder="1" applyAlignment="1" applyProtection="1">
      <alignment horizontal="left" vertical="center" wrapText="1"/>
    </xf>
    <xf numFmtId="0" fontId="11" fillId="0" borderId="131" xfId="0" quotePrefix="1" applyFont="1" applyBorder="1" applyAlignment="1">
      <alignment horizontal="center" vertical="center"/>
    </xf>
    <xf numFmtId="0" fontId="11" fillId="0" borderId="1" xfId="0" quotePrefix="1" applyFont="1" applyBorder="1" applyAlignment="1">
      <alignment horizontal="left" vertical="center" wrapText="1"/>
    </xf>
    <xf numFmtId="2" fontId="61" fillId="0" borderId="0" xfId="0" quotePrefix="1" applyNumberFormat="1" applyFont="1" applyFill="1" applyBorder="1" applyAlignment="1">
      <alignment horizontal="center" vertical="center"/>
    </xf>
    <xf numFmtId="0" fontId="22" fillId="0" borderId="0" xfId="0" applyFont="1" applyBorder="1" applyAlignment="1">
      <alignment horizontal="center" vertical="center" wrapText="1"/>
    </xf>
    <xf numFmtId="171" fontId="22" fillId="0" borderId="0" xfId="0" applyNumberFormat="1" applyFont="1" applyBorder="1" applyAlignment="1">
      <alignment horizontal="center" vertical="center" wrapText="1"/>
    </xf>
    <xf numFmtId="167" fontId="22" fillId="0" borderId="0" xfId="0" applyNumberFormat="1" applyFont="1" applyBorder="1" applyAlignment="1">
      <alignment horizontal="center" vertical="center" wrapText="1"/>
    </xf>
    <xf numFmtId="0" fontId="10"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5" fillId="0" borderId="0" xfId="0" applyFont="1" applyBorder="1" applyAlignment="1">
      <alignment horizontal="center" vertical="center" wrapText="1"/>
    </xf>
    <xf numFmtId="171" fontId="16"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171" fontId="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170" fontId="10" fillId="0" borderId="0" xfId="3" applyNumberFormat="1" applyFont="1" applyFill="1" applyBorder="1" applyAlignment="1">
      <alignment vertical="center" wrapText="1"/>
    </xf>
    <xf numFmtId="0" fontId="24" fillId="0" borderId="0" xfId="0" applyFont="1" applyBorder="1" applyAlignment="1">
      <alignment vertical="center" wrapText="1"/>
    </xf>
    <xf numFmtId="170" fontId="10" fillId="0" borderId="0" xfId="3" applyNumberFormat="1" applyFont="1" applyFill="1" applyBorder="1" applyAlignment="1">
      <alignment vertical="center"/>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18"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32" xfId="0" applyFont="1" applyBorder="1" applyAlignment="1">
      <alignment vertical="center"/>
    </xf>
    <xf numFmtId="167" fontId="22" fillId="0" borderId="108" xfId="0" applyNumberFormat="1" applyFont="1" applyBorder="1" applyAlignment="1">
      <alignment horizontal="center" vertical="center" wrapText="1"/>
    </xf>
    <xf numFmtId="0" fontId="10" fillId="0" borderId="132" xfId="0" applyFont="1" applyBorder="1" applyAlignment="1">
      <alignment horizontal="center" vertical="center" wrapText="1"/>
    </xf>
    <xf numFmtId="167" fontId="24" fillId="0" borderId="108" xfId="0" applyNumberFormat="1" applyFont="1" applyBorder="1" applyAlignment="1">
      <alignment horizontal="center" vertical="center" wrapText="1"/>
    </xf>
    <xf numFmtId="0" fontId="24" fillId="0" borderId="132" xfId="0" applyFont="1" applyBorder="1" applyAlignment="1">
      <alignment horizontal="center" vertical="center"/>
    </xf>
    <xf numFmtId="0" fontId="16" fillId="0" borderId="107" xfId="0" applyFont="1" applyBorder="1" applyAlignment="1">
      <alignment horizontal="justify" vertical="center" wrapText="1"/>
    </xf>
    <xf numFmtId="167" fontId="25" fillId="0" borderId="108" xfId="0" applyNumberFormat="1" applyFont="1" applyBorder="1" applyAlignment="1">
      <alignment horizontal="center" vertical="center" wrapText="1"/>
    </xf>
    <xf numFmtId="0" fontId="10" fillId="0" borderId="132" xfId="0" applyFont="1" applyBorder="1" applyAlignment="1">
      <alignment horizontal="center" vertical="center"/>
    </xf>
    <xf numFmtId="2" fontId="33"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left"/>
    </xf>
    <xf numFmtId="0" fontId="11" fillId="6" borderId="6" xfId="0" applyFont="1" applyFill="1" applyBorder="1" applyAlignment="1">
      <alignment horizontal="left" vertical="center" wrapText="1"/>
    </xf>
    <xf numFmtId="0" fontId="22" fillId="0" borderId="107" xfId="0" applyFont="1" applyBorder="1" applyAlignment="1">
      <alignment horizontal="justify" vertical="center" wrapText="1"/>
    </xf>
    <xf numFmtId="0" fontId="10" fillId="0" borderId="107" xfId="0" applyFont="1" applyBorder="1" applyAlignment="1">
      <alignment horizontal="justify" vertical="center" wrapText="1"/>
    </xf>
    <xf numFmtId="0" fontId="16" fillId="0" borderId="124" xfId="0" applyFont="1" applyBorder="1" applyAlignment="1">
      <alignment horizontal="center" vertical="center" wrapText="1"/>
    </xf>
    <xf numFmtId="0" fontId="26" fillId="0" borderId="107" xfId="0" applyFont="1" applyBorder="1" applyAlignment="1">
      <alignment horizontal="left" vertical="center" wrapText="1"/>
    </xf>
    <xf numFmtId="0" fontId="0" fillId="0" borderId="132" xfId="0" applyBorder="1" applyAlignment="1">
      <alignment horizontal="left" vertical="center"/>
    </xf>
    <xf numFmtId="2" fontId="73" fillId="0" borderId="133" xfId="0" applyNumberFormat="1" applyFont="1" applyFill="1" applyBorder="1" applyAlignment="1">
      <alignment horizontal="center" vertical="center"/>
    </xf>
    <xf numFmtId="0" fontId="68" fillId="0" borderId="134" xfId="0" applyFont="1" applyBorder="1" applyAlignment="1">
      <alignment horizontal="center" vertical="center"/>
    </xf>
    <xf numFmtId="0" fontId="68" fillId="0" borderId="0" xfId="0" applyFont="1" applyBorder="1" applyAlignment="1">
      <alignment horizontal="center" vertical="center"/>
    </xf>
    <xf numFmtId="0" fontId="10" fillId="0" borderId="55" xfId="0" applyFont="1" applyBorder="1" applyAlignment="1">
      <alignment vertical="center" wrapText="1"/>
    </xf>
    <xf numFmtId="0" fontId="19" fillId="0" borderId="56" xfId="0" applyFont="1" applyBorder="1" applyAlignment="1">
      <alignment vertical="top" wrapText="1"/>
    </xf>
    <xf numFmtId="165" fontId="11" fillId="0" borderId="8" xfId="0" applyNumberFormat="1" applyFont="1" applyBorder="1" applyAlignment="1">
      <alignment horizontal="center" vertical="center"/>
    </xf>
    <xf numFmtId="0" fontId="27" fillId="0" borderId="13" xfId="0" applyFont="1" applyBorder="1" applyAlignment="1">
      <alignment vertical="center"/>
    </xf>
    <xf numFmtId="0" fontId="3" fillId="0" borderId="34" xfId="0" applyFont="1" applyBorder="1" applyAlignment="1">
      <alignment vertical="center"/>
    </xf>
    <xf numFmtId="0" fontId="4" fillId="0" borderId="34" xfId="0" applyFont="1" applyBorder="1" applyAlignment="1">
      <alignment vertical="center"/>
    </xf>
    <xf numFmtId="0" fontId="4" fillId="0" borderId="28" xfId="0" applyFont="1" applyBorder="1" applyAlignment="1">
      <alignment vertical="center"/>
    </xf>
    <xf numFmtId="0" fontId="16" fillId="0" borderId="120" xfId="0" applyFont="1" applyBorder="1" applyAlignment="1">
      <alignment vertical="center" wrapText="1"/>
    </xf>
    <xf numFmtId="0" fontId="16" fillId="0" borderId="118" xfId="0" applyFont="1" applyBorder="1" applyAlignment="1">
      <alignment vertical="center" wrapText="1"/>
    </xf>
    <xf numFmtId="0" fontId="5" fillId="0" borderId="118" xfId="0" applyFont="1" applyBorder="1" applyAlignment="1">
      <alignment horizontal="center" vertical="center" wrapText="1"/>
    </xf>
    <xf numFmtId="0" fontId="6" fillId="0" borderId="118" xfId="0" applyFont="1" applyBorder="1" applyAlignment="1">
      <alignment vertical="center" wrapText="1"/>
    </xf>
    <xf numFmtId="0" fontId="6" fillId="0" borderId="119" xfId="0" applyFont="1" applyBorder="1" applyAlignment="1">
      <alignment vertical="center" wrapText="1"/>
    </xf>
    <xf numFmtId="0" fontId="18" fillId="0" borderId="120" xfId="0" applyFont="1" applyBorder="1" applyAlignment="1">
      <alignment vertical="center" wrapText="1"/>
    </xf>
    <xf numFmtId="4" fontId="7" fillId="0" borderId="118" xfId="0" applyNumberFormat="1" applyFont="1" applyBorder="1" applyAlignment="1">
      <alignment horizontal="right" vertical="center"/>
    </xf>
    <xf numFmtId="168" fontId="7" fillId="0" borderId="119" xfId="0" applyNumberFormat="1" applyFont="1" applyBorder="1" applyAlignment="1">
      <alignment horizontal="right" vertical="center"/>
    </xf>
    <xf numFmtId="0" fontId="9" fillId="0" borderId="12" xfId="0" applyFont="1" applyBorder="1" applyAlignment="1">
      <alignment vertical="center" wrapText="1"/>
    </xf>
    <xf numFmtId="0" fontId="7" fillId="0" borderId="13" xfId="0" applyFont="1" applyBorder="1" applyAlignment="1">
      <alignment horizontal="center" vertical="center" wrapText="1"/>
    </xf>
    <xf numFmtId="166" fontId="18" fillId="0" borderId="132" xfId="0" applyNumberFormat="1" applyFont="1" applyFill="1" applyBorder="1" applyAlignment="1">
      <alignment horizontal="center" vertical="center"/>
    </xf>
    <xf numFmtId="4" fontId="7" fillId="0" borderId="124" xfId="0" applyNumberFormat="1" applyFont="1" applyFill="1" applyBorder="1" applyAlignment="1">
      <alignment horizontal="right" vertical="center"/>
    </xf>
    <xf numFmtId="166" fontId="18" fillId="0" borderId="132" xfId="0" applyNumberFormat="1" applyFont="1" applyBorder="1" applyAlignment="1">
      <alignment horizontal="center" vertical="center"/>
    </xf>
    <xf numFmtId="4" fontId="7" fillId="0" borderId="124" xfId="0" applyNumberFormat="1" applyFont="1" applyBorder="1" applyAlignment="1">
      <alignment horizontal="right" vertical="center"/>
    </xf>
    <xf numFmtId="14" fontId="23" fillId="0" borderId="13" xfId="2" applyNumberFormat="1" applyFont="1" applyBorder="1" applyAlignment="1">
      <alignment horizontal="right" vertical="center"/>
    </xf>
    <xf numFmtId="0" fontId="70" fillId="0" borderId="120" xfId="0" applyNumberFormat="1" applyFont="1" applyFill="1" applyBorder="1" applyAlignment="1" applyProtection="1">
      <alignment vertical="center"/>
    </xf>
    <xf numFmtId="0" fontId="19" fillId="0" borderId="118" xfId="0" applyNumberFormat="1" applyFont="1" applyFill="1" applyBorder="1" applyAlignment="1" applyProtection="1">
      <alignment vertical="center"/>
    </xf>
    <xf numFmtId="0" fontId="19" fillId="0" borderId="119" xfId="0" applyNumberFormat="1" applyFont="1" applyFill="1" applyBorder="1" applyAlignment="1" applyProtection="1">
      <alignment vertical="center"/>
    </xf>
    <xf numFmtId="0" fontId="24" fillId="0" borderId="6" xfId="0" applyFont="1" applyBorder="1" applyAlignment="1">
      <alignment horizontal="left" vertical="center"/>
    </xf>
    <xf numFmtId="0" fontId="106" fillId="0" borderId="0" xfId="0" applyFont="1"/>
    <xf numFmtId="0" fontId="65" fillId="0" borderId="0" xfId="0" applyFont="1" applyFill="1" applyBorder="1" applyAlignment="1">
      <alignment horizontal="left" vertical="center"/>
    </xf>
    <xf numFmtId="0" fontId="10" fillId="0" borderId="10" xfId="0" applyFont="1" applyBorder="1" applyAlignment="1">
      <alignment horizontal="left" vertical="center" wrapText="1"/>
    </xf>
    <xf numFmtId="167" fontId="10" fillId="0" borderId="0" xfId="0" applyNumberFormat="1" applyFont="1" applyFill="1" applyBorder="1" applyAlignment="1">
      <alignment horizontal="center" vertical="center" wrapText="1"/>
    </xf>
    <xf numFmtId="0" fontId="24" fillId="0" borderId="39" xfId="0" applyFont="1" applyBorder="1" applyAlignment="1">
      <alignment horizontal="center" vertical="center" wrapText="1"/>
    </xf>
    <xf numFmtId="0" fontId="107" fillId="0" borderId="0" xfId="0" applyFont="1" applyAlignment="1">
      <alignment horizontal="left" vertical="center" wrapText="1"/>
    </xf>
    <xf numFmtId="0" fontId="18" fillId="5" borderId="20" xfId="0" applyFont="1" applyFill="1" applyBorder="1" applyAlignment="1">
      <alignment horizontal="left" vertical="center" wrapText="1"/>
    </xf>
    <xf numFmtId="0" fontId="108" fillId="0" borderId="16" xfId="56" applyBorder="1" applyAlignment="1">
      <alignment horizontal="center" vertical="center" wrapText="1"/>
    </xf>
    <xf numFmtId="0" fontId="16" fillId="0" borderId="8" xfId="0" applyFont="1" applyBorder="1" applyAlignment="1">
      <alignment horizontal="center" vertical="center" wrapText="1"/>
    </xf>
    <xf numFmtId="167" fontId="24" fillId="0" borderId="8" xfId="0" applyNumberFormat="1" applyFont="1" applyBorder="1" applyAlignment="1">
      <alignment horizontal="center" vertical="center" wrapText="1"/>
    </xf>
    <xf numFmtId="167" fontId="24" fillId="0" borderId="13" xfId="0" applyNumberFormat="1" applyFont="1" applyBorder="1" applyAlignment="1">
      <alignment horizontal="center" vertical="center" wrapText="1"/>
    </xf>
    <xf numFmtId="0" fontId="16" fillId="0" borderId="132" xfId="0" applyFont="1" applyBorder="1" applyAlignment="1">
      <alignment horizontal="center" vertical="center"/>
    </xf>
    <xf numFmtId="0" fontId="24" fillId="0" borderId="23" xfId="0" applyFont="1" applyBorder="1" applyAlignment="1">
      <alignment horizontal="center" vertical="center"/>
    </xf>
    <xf numFmtId="0" fontId="24" fillId="0" borderId="14" xfId="0" applyFont="1" applyBorder="1" applyAlignment="1">
      <alignment horizontal="left" vertical="center" wrapText="1"/>
    </xf>
    <xf numFmtId="0" fontId="16" fillId="0" borderId="14" xfId="0" applyFont="1" applyBorder="1" applyAlignment="1">
      <alignment horizontal="center" vertical="center" wrapText="1"/>
    </xf>
    <xf numFmtId="167" fontId="24" fillId="0" borderId="14" xfId="0" applyNumberFormat="1" applyFont="1" applyBorder="1" applyAlignment="1">
      <alignment horizontal="center" vertical="center" wrapText="1"/>
    </xf>
    <xf numFmtId="167" fontId="10" fillId="0" borderId="14" xfId="0" applyNumberFormat="1" applyFont="1" applyBorder="1" applyAlignment="1">
      <alignment horizontal="center" vertical="center"/>
    </xf>
    <xf numFmtId="167" fontId="24" fillId="0" borderId="59" xfId="0" applyNumberFormat="1" applyFont="1" applyBorder="1" applyAlignment="1">
      <alignment horizontal="center" vertical="center" wrapText="1"/>
    </xf>
    <xf numFmtId="0" fontId="24" fillId="0" borderId="21" xfId="0" applyFont="1" applyBorder="1" applyAlignment="1">
      <alignment horizontal="center" vertical="center"/>
    </xf>
    <xf numFmtId="0" fontId="24" fillId="0" borderId="22" xfId="0" applyFont="1" applyBorder="1" applyAlignment="1">
      <alignment horizontal="left" vertical="center" wrapText="1"/>
    </xf>
    <xf numFmtId="0" fontId="16" fillId="0" borderId="22" xfId="0" applyFont="1" applyBorder="1" applyAlignment="1">
      <alignment horizontal="center" vertical="center" wrapText="1"/>
    </xf>
    <xf numFmtId="167" fontId="24" fillId="0" borderId="22" xfId="0" applyNumberFormat="1" applyFont="1" applyBorder="1" applyAlignment="1">
      <alignment horizontal="center" vertical="center" wrapText="1"/>
    </xf>
    <xf numFmtId="167" fontId="10" fillId="0" borderId="22" xfId="0" applyNumberFormat="1" applyFont="1" applyBorder="1" applyAlignment="1">
      <alignment horizontal="center" vertical="center"/>
    </xf>
    <xf numFmtId="0" fontId="24" fillId="0" borderId="31" xfId="0" applyFont="1" applyBorder="1" applyAlignment="1">
      <alignment horizontal="center" vertical="center"/>
    </xf>
    <xf numFmtId="0" fontId="11" fillId="2" borderId="121" xfId="3" applyFont="1" applyFill="1" applyBorder="1" applyAlignment="1">
      <alignment horizontal="center" vertical="center"/>
    </xf>
    <xf numFmtId="167" fontId="23" fillId="2" borderId="135" xfId="3" applyNumberFormat="1" applyFont="1" applyFill="1" applyBorder="1" applyAlignment="1">
      <alignment horizontal="center" vertical="center" wrapText="1"/>
    </xf>
    <xf numFmtId="14" fontId="10" fillId="0" borderId="23" xfId="0" applyNumberFormat="1" applyFont="1" applyBorder="1" applyAlignment="1">
      <alignment horizontal="center" vertical="center"/>
    </xf>
    <xf numFmtId="0" fontId="10" fillId="0" borderId="14" xfId="0" applyFont="1" applyBorder="1" applyAlignment="1">
      <alignment horizontal="left" vertical="center" wrapText="1"/>
    </xf>
    <xf numFmtId="2" fontId="10" fillId="0" borderId="14" xfId="0" applyNumberFormat="1" applyFont="1" applyBorder="1" applyAlignment="1">
      <alignment horizontal="center" vertical="center"/>
    </xf>
    <xf numFmtId="0" fontId="10" fillId="0" borderId="19" xfId="0" applyFont="1" applyBorder="1" applyAlignment="1">
      <alignment horizontal="center" vertical="center" wrapText="1"/>
    </xf>
    <xf numFmtId="0" fontId="24" fillId="0" borderId="36" xfId="0" applyFont="1" applyBorder="1"/>
    <xf numFmtId="0" fontId="25" fillId="0" borderId="37" xfId="0" applyFont="1" applyBorder="1" applyAlignment="1">
      <alignment horizontal="right" vertical="center"/>
    </xf>
    <xf numFmtId="2" fontId="25" fillId="0" borderId="37" xfId="0" applyNumberFormat="1" applyFont="1" applyBorder="1" applyAlignment="1">
      <alignment horizontal="center" vertical="center"/>
    </xf>
    <xf numFmtId="0" fontId="24" fillId="0" borderId="39" xfId="0" applyFont="1" applyBorder="1"/>
    <xf numFmtId="171" fontId="16" fillId="0" borderId="22" xfId="0" applyNumberFormat="1" applyFont="1" applyBorder="1" applyAlignment="1">
      <alignment horizontal="center" vertical="center" wrapText="1"/>
    </xf>
    <xf numFmtId="4" fontId="18" fillId="6" borderId="22" xfId="0" applyNumberFormat="1" applyFont="1" applyFill="1" applyBorder="1" applyAlignment="1">
      <alignment horizontal="right" vertical="center"/>
    </xf>
    <xf numFmtId="0" fontId="22" fillId="0" borderId="128" xfId="0" applyFont="1" applyBorder="1" applyAlignment="1">
      <alignment horizontal="justify" vertical="center" wrapText="1"/>
    </xf>
    <xf numFmtId="167" fontId="16" fillId="0" borderId="108" xfId="0" applyNumberFormat="1" applyFont="1" applyBorder="1" applyAlignment="1">
      <alignment horizontal="center" vertical="center" wrapText="1"/>
    </xf>
    <xf numFmtId="167" fontId="18" fillId="2" borderId="135" xfId="3" applyNumberFormat="1" applyFont="1" applyFill="1" applyBorder="1" applyAlignment="1">
      <alignment horizontal="center" vertical="center" wrapText="1"/>
    </xf>
    <xf numFmtId="0" fontId="22" fillId="0" borderId="14" xfId="0" applyFont="1" applyBorder="1" applyAlignment="1">
      <alignment horizontal="center" vertical="center" wrapText="1"/>
    </xf>
    <xf numFmtId="171" fontId="22" fillId="0" borderId="14" xfId="0" applyNumberFormat="1" applyFont="1" applyBorder="1" applyAlignment="1">
      <alignment horizontal="center" vertical="center" wrapText="1"/>
    </xf>
    <xf numFmtId="0" fontId="22" fillId="0" borderId="8" xfId="0" applyFont="1" applyBorder="1" applyAlignment="1">
      <alignment horizontal="justify" vertical="center" wrapText="1"/>
    </xf>
    <xf numFmtId="167" fontId="22" fillId="0" borderId="133" xfId="0" applyNumberFormat="1" applyFont="1" applyBorder="1" applyAlignment="1">
      <alignment horizontal="center" vertical="center" wrapText="1"/>
    </xf>
    <xf numFmtId="0" fontId="22" fillId="0" borderId="58" xfId="0" applyFont="1" applyBorder="1" applyAlignment="1">
      <alignment horizontal="justify" vertical="center" wrapText="1"/>
    </xf>
    <xf numFmtId="167" fontId="24" fillId="0" borderId="28" xfId="0" applyNumberFormat="1" applyFont="1" applyBorder="1" applyAlignment="1">
      <alignment horizontal="center" vertical="center" wrapText="1"/>
    </xf>
    <xf numFmtId="0" fontId="18" fillId="6" borderId="136" xfId="0" applyFont="1" applyFill="1" applyBorder="1" applyAlignment="1">
      <alignment horizontal="center" vertical="center" wrapText="1"/>
    </xf>
    <xf numFmtId="0" fontId="22" fillId="0" borderId="128" xfId="0" applyFont="1" applyBorder="1" applyAlignment="1">
      <alignment horizontal="center" vertical="center" wrapText="1"/>
    </xf>
    <xf numFmtId="171" fontId="22" fillId="0" borderId="128" xfId="0" applyNumberFormat="1" applyFont="1" applyBorder="1" applyAlignment="1">
      <alignment horizontal="center" vertical="center" wrapText="1"/>
    </xf>
    <xf numFmtId="0" fontId="22" fillId="0" borderId="34" xfId="0" applyFont="1" applyBorder="1" applyAlignment="1">
      <alignment horizontal="justify" vertical="center" wrapText="1"/>
    </xf>
    <xf numFmtId="167" fontId="22" fillId="0" borderId="28"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10" fillId="0" borderId="107" xfId="0" applyFont="1" applyBorder="1" applyAlignment="1">
      <alignment horizontal="left" vertical="center" wrapText="1"/>
    </xf>
    <xf numFmtId="0" fontId="10" fillId="0" borderId="22" xfId="0" applyFont="1" applyBorder="1" applyAlignment="1">
      <alignment horizontal="left" vertical="center" wrapText="1"/>
    </xf>
    <xf numFmtId="172" fontId="10" fillId="0" borderId="22" xfId="0" applyNumberFormat="1" applyFont="1" applyBorder="1" applyAlignment="1">
      <alignment horizontal="center" vertical="center"/>
    </xf>
    <xf numFmtId="0" fontId="11" fillId="0" borderId="36" xfId="3" applyFont="1" applyFill="1" applyBorder="1" applyAlignment="1">
      <alignment horizontal="center" vertical="center"/>
    </xf>
    <xf numFmtId="0" fontId="16" fillId="0" borderId="31" xfId="0" applyFont="1" applyBorder="1" applyAlignment="1">
      <alignment vertical="center"/>
    </xf>
    <xf numFmtId="167" fontId="22" fillId="0" borderId="15" xfId="0" applyNumberFormat="1" applyFont="1" applyBorder="1" applyAlignment="1">
      <alignment horizontal="center" vertical="center" wrapText="1"/>
    </xf>
    <xf numFmtId="0" fontId="18" fillId="2" borderId="36" xfId="0" applyFont="1" applyFill="1" applyBorder="1" applyAlignment="1">
      <alignment horizontal="center" vertical="center"/>
    </xf>
    <xf numFmtId="0" fontId="23" fillId="5" borderId="37" xfId="0" applyFont="1" applyFill="1" applyBorder="1" applyAlignment="1">
      <alignment horizontal="justify" vertical="center" wrapText="1"/>
    </xf>
    <xf numFmtId="0" fontId="18" fillId="5" borderId="37" xfId="3" applyFont="1" applyFill="1" applyBorder="1" applyAlignment="1">
      <alignment vertical="center"/>
    </xf>
    <xf numFmtId="0" fontId="18" fillId="5" borderId="37" xfId="3" applyFont="1" applyFill="1" applyBorder="1" applyAlignment="1">
      <alignment horizontal="right" vertical="center"/>
    </xf>
    <xf numFmtId="2" fontId="18" fillId="5" borderId="39" xfId="3" applyNumberFormat="1" applyFont="1" applyFill="1" applyBorder="1" applyAlignment="1">
      <alignment vertical="center"/>
    </xf>
    <xf numFmtId="0" fontId="11" fillId="5" borderId="17" xfId="3" applyFont="1" applyFill="1" applyBorder="1" applyAlignment="1">
      <alignment horizontal="center" vertical="center"/>
    </xf>
    <xf numFmtId="167" fontId="18" fillId="5" borderId="64" xfId="3" applyNumberFormat="1" applyFont="1" applyFill="1" applyBorder="1" applyAlignment="1">
      <alignment horizontal="center" vertical="center" wrapText="1"/>
    </xf>
    <xf numFmtId="167" fontId="11" fillId="0" borderId="39" xfId="3" applyNumberFormat="1" applyFont="1" applyFill="1" applyBorder="1" applyAlignment="1">
      <alignment horizontal="center" vertical="center" wrapText="1"/>
    </xf>
    <xf numFmtId="0" fontId="10" fillId="0" borderId="0" xfId="0" applyFont="1" applyAlignment="1">
      <alignment horizontal="left" vertical="center"/>
    </xf>
    <xf numFmtId="0" fontId="24" fillId="0" borderId="128" xfId="0" applyFont="1" applyBorder="1" applyAlignment="1">
      <alignment horizontal="left" vertical="center" wrapText="1"/>
    </xf>
    <xf numFmtId="0" fontId="16" fillId="0" borderId="128" xfId="0" applyFont="1" applyBorder="1" applyAlignment="1">
      <alignment horizontal="center" vertical="center" wrapText="1"/>
    </xf>
    <xf numFmtId="167" fontId="24" fillId="0" borderId="128" xfId="0" applyNumberFormat="1" applyFont="1" applyBorder="1" applyAlignment="1">
      <alignment horizontal="center" vertical="center" wrapText="1"/>
    </xf>
    <xf numFmtId="167" fontId="10" fillId="0" borderId="128" xfId="0" applyNumberFormat="1" applyFont="1" applyBorder="1" applyAlignment="1">
      <alignment horizontal="center" vertical="center"/>
    </xf>
    <xf numFmtId="14" fontId="10" fillId="0" borderId="21" xfId="0" applyNumberFormat="1" applyFont="1" applyBorder="1" applyAlignment="1">
      <alignment horizontal="center" vertical="center"/>
    </xf>
    <xf numFmtId="2" fontId="10" fillId="0" borderId="22" xfId="0" applyNumberFormat="1" applyFont="1" applyBorder="1" applyAlignment="1">
      <alignment horizontal="center" vertical="center"/>
    </xf>
    <xf numFmtId="0" fontId="10" fillId="0" borderId="41" xfId="0" applyFont="1" applyBorder="1" applyAlignment="1">
      <alignment horizontal="center" vertical="center" wrapText="1"/>
    </xf>
    <xf numFmtId="2" fontId="22" fillId="0" borderId="6" xfId="0" applyNumberFormat="1" applyFont="1" applyBorder="1" applyAlignment="1">
      <alignment horizontal="center" vertical="center"/>
    </xf>
    <xf numFmtId="4" fontId="18" fillId="6" borderId="107" xfId="0" applyNumberFormat="1" applyFont="1" applyFill="1" applyBorder="1" applyAlignment="1">
      <alignment horizontal="right" vertical="center"/>
    </xf>
    <xf numFmtId="0" fontId="16" fillId="0" borderId="23" xfId="0" applyFont="1" applyBorder="1" applyAlignment="1">
      <alignment horizontal="center" vertical="center"/>
    </xf>
    <xf numFmtId="171" fontId="10" fillId="0" borderId="14" xfId="0" applyNumberFormat="1" applyFont="1" applyBorder="1" applyAlignment="1">
      <alignment horizontal="center" vertical="center"/>
    </xf>
    <xf numFmtId="0" fontId="16" fillId="0" borderId="45" xfId="0" applyFont="1" applyBorder="1" applyAlignment="1">
      <alignment horizontal="center" vertical="center"/>
    </xf>
    <xf numFmtId="0" fontId="26" fillId="0" borderId="14" xfId="0" applyFont="1" applyBorder="1" applyAlignment="1">
      <alignment wrapText="1"/>
    </xf>
    <xf numFmtId="2" fontId="16" fillId="0" borderId="14" xfId="0" applyNumberFormat="1" applyFont="1" applyBorder="1" applyAlignment="1">
      <alignment horizontal="center" vertical="center"/>
    </xf>
    <xf numFmtId="4" fontId="18" fillId="6" borderId="14" xfId="0" applyNumberFormat="1" applyFont="1" applyFill="1" applyBorder="1" applyAlignment="1">
      <alignment horizontal="right" vertical="center"/>
    </xf>
    <xf numFmtId="167" fontId="25" fillId="0" borderId="19" xfId="0" applyNumberFormat="1" applyFont="1" applyBorder="1" applyAlignment="1">
      <alignment horizontal="center" vertical="center" wrapText="1"/>
    </xf>
    <xf numFmtId="0" fontId="22" fillId="0" borderId="107" xfId="0" applyFont="1" applyBorder="1" applyAlignment="1">
      <alignment horizontal="left" vertical="center" wrapText="1"/>
    </xf>
    <xf numFmtId="0" fontId="18" fillId="6" borderId="128" xfId="0" applyFont="1" applyFill="1" applyBorder="1" applyAlignment="1">
      <alignment horizontal="center" vertical="center" wrapText="1"/>
    </xf>
    <xf numFmtId="0" fontId="24" fillId="0" borderId="24" xfId="0" applyFont="1" applyFill="1" applyBorder="1" applyAlignment="1">
      <alignment horizontal="center" vertical="center"/>
    </xf>
    <xf numFmtId="172" fontId="10" fillId="0" borderId="128" xfId="0" applyNumberFormat="1" applyFont="1" applyBorder="1" applyAlignment="1">
      <alignment horizontal="center" vertical="center"/>
    </xf>
    <xf numFmtId="14" fontId="10" fillId="0" borderId="132" xfId="0" applyNumberFormat="1" applyFont="1" applyBorder="1" applyAlignment="1">
      <alignment horizontal="center" vertical="center"/>
    </xf>
    <xf numFmtId="0" fontId="10" fillId="0" borderId="128" xfId="0" applyFont="1" applyBorder="1" applyAlignment="1">
      <alignment horizontal="left" vertical="center" wrapText="1"/>
    </xf>
    <xf numFmtId="2" fontId="10" fillId="0" borderId="128" xfId="0" applyNumberFormat="1" applyFont="1" applyBorder="1" applyAlignment="1">
      <alignment horizontal="center" vertical="center"/>
    </xf>
    <xf numFmtId="0" fontId="24" fillId="0" borderId="133" xfId="0" applyFont="1" applyBorder="1" applyAlignment="1">
      <alignment horizontal="center" vertical="center" wrapText="1"/>
    </xf>
    <xf numFmtId="0" fontId="109" fillId="0" borderId="0" xfId="0" applyFont="1"/>
    <xf numFmtId="0" fontId="24" fillId="0" borderId="55" xfId="0" applyFont="1" applyBorder="1"/>
    <xf numFmtId="0" fontId="25" fillId="0" borderId="60" xfId="0" applyFont="1" applyBorder="1" applyAlignment="1">
      <alignment horizontal="right" vertical="center"/>
    </xf>
    <xf numFmtId="2" fontId="25" fillId="0" borderId="60" xfId="0" applyNumberFormat="1" applyFont="1" applyBorder="1" applyAlignment="1">
      <alignment horizontal="center" vertical="center"/>
    </xf>
    <xf numFmtId="0" fontId="24" fillId="0" borderId="17" xfId="0" applyFont="1" applyBorder="1"/>
    <xf numFmtId="0" fontId="24" fillId="0" borderId="64" xfId="0" applyFont="1" applyBorder="1"/>
    <xf numFmtId="0" fontId="22" fillId="0" borderId="128" xfId="0" applyFont="1" applyBorder="1" applyAlignment="1">
      <alignment horizontal="left" vertical="center" wrapText="1"/>
    </xf>
    <xf numFmtId="0" fontId="71" fillId="0" borderId="0" xfId="0" applyFont="1"/>
    <xf numFmtId="2" fontId="19" fillId="0" borderId="0" xfId="0" applyNumberFormat="1" applyFont="1" applyAlignment="1">
      <alignment horizontal="center" vertical="center"/>
    </xf>
    <xf numFmtId="0" fontId="11" fillId="0" borderId="0" xfId="0" applyFont="1" applyAlignment="1">
      <alignment horizontal="left" vertical="center"/>
    </xf>
    <xf numFmtId="0" fontId="10" fillId="0" borderId="23" xfId="0" applyFont="1" applyFill="1" applyBorder="1" applyAlignment="1">
      <alignment horizontal="center" vertical="center"/>
    </xf>
    <xf numFmtId="0" fontId="10" fillId="0" borderId="14" xfId="0" quotePrefix="1" applyFont="1" applyBorder="1" applyAlignment="1">
      <alignment horizontal="left" vertical="center" wrapText="1"/>
    </xf>
    <xf numFmtId="167" fontId="16" fillId="0" borderId="59" xfId="0" applyNumberFormat="1" applyFont="1" applyBorder="1" applyAlignment="1">
      <alignment horizontal="center" vertical="center" wrapText="1"/>
    </xf>
    <xf numFmtId="0" fontId="10" fillId="0" borderId="21" xfId="0" applyFont="1" applyFill="1" applyBorder="1" applyAlignment="1">
      <alignment horizontal="center" vertical="center"/>
    </xf>
    <xf numFmtId="0" fontId="10" fillId="0" borderId="84" xfId="0" applyFont="1" applyBorder="1" applyAlignment="1">
      <alignment horizontal="left" vertical="center" wrapText="1"/>
    </xf>
    <xf numFmtId="167" fontId="16" fillId="0" borderId="28" xfId="0" applyNumberFormat="1" applyFont="1" applyBorder="1" applyAlignment="1">
      <alignment horizontal="center" vertical="center" wrapText="1"/>
    </xf>
    <xf numFmtId="0" fontId="24" fillId="0" borderId="121" xfId="0" applyFont="1" applyBorder="1" applyAlignment="1">
      <alignment horizontal="center" vertical="center"/>
    </xf>
    <xf numFmtId="0" fontId="10" fillId="0" borderId="118" xfId="0" applyFont="1" applyBorder="1" applyAlignment="1">
      <alignment horizontal="justify" vertical="center" wrapText="1"/>
    </xf>
    <xf numFmtId="0" fontId="16" fillId="0" borderId="136" xfId="0" applyFont="1" applyBorder="1" applyAlignment="1">
      <alignment horizontal="center" vertical="center" wrapText="1"/>
    </xf>
    <xf numFmtId="172" fontId="10" fillId="0" borderId="136" xfId="0" applyNumberFormat="1" applyFont="1" applyBorder="1" applyAlignment="1">
      <alignment horizontal="center" vertical="center"/>
    </xf>
    <xf numFmtId="2" fontId="10" fillId="0" borderId="136" xfId="0" applyNumberFormat="1" applyFont="1" applyBorder="1" applyAlignment="1">
      <alignment horizontal="center" vertical="center"/>
    </xf>
    <xf numFmtId="167" fontId="24" fillId="0" borderId="135" xfId="0" applyNumberFormat="1" applyFont="1" applyBorder="1" applyAlignment="1">
      <alignment horizontal="center" vertical="center" wrapText="1"/>
    </xf>
    <xf numFmtId="0" fontId="16" fillId="0" borderId="22" xfId="0" applyFont="1" applyBorder="1" applyAlignment="1">
      <alignment horizontal="justify" vertical="center" wrapText="1"/>
    </xf>
    <xf numFmtId="167" fontId="22" fillId="0" borderId="49" xfId="0" applyNumberFormat="1" applyFont="1" applyBorder="1" applyAlignment="1">
      <alignment horizontal="center" vertical="center" wrapText="1"/>
    </xf>
    <xf numFmtId="0" fontId="16" fillId="0" borderId="58" xfId="0" applyFont="1" applyBorder="1" applyAlignment="1">
      <alignment horizontal="justify" vertical="center" wrapText="1"/>
    </xf>
    <xf numFmtId="0" fontId="15" fillId="0" borderId="14" xfId="0" applyFont="1" applyBorder="1" applyAlignment="1">
      <alignment horizontal="center" vertical="center" wrapText="1"/>
    </xf>
    <xf numFmtId="171" fontId="16" fillId="0" borderId="14" xfId="0" applyNumberFormat="1" applyFont="1" applyBorder="1" applyAlignment="1">
      <alignment horizontal="center" vertical="center" wrapText="1"/>
    </xf>
    <xf numFmtId="0" fontId="22" fillId="0" borderId="22" xfId="0" applyFont="1" applyBorder="1" applyAlignment="1">
      <alignment horizontal="center" vertical="center" wrapText="1"/>
    </xf>
    <xf numFmtId="171" fontId="22" fillId="0" borderId="22" xfId="0" applyNumberFormat="1" applyFont="1" applyBorder="1" applyAlignment="1">
      <alignment horizontal="center" vertical="center" wrapText="1"/>
    </xf>
    <xf numFmtId="0" fontId="18" fillId="6" borderId="22" xfId="0" applyFont="1" applyFill="1" applyBorder="1" applyAlignment="1">
      <alignment horizontal="center" vertical="center" wrapText="1"/>
    </xf>
    <xf numFmtId="0" fontId="16" fillId="0" borderId="36" xfId="0" applyFont="1" applyBorder="1" applyAlignment="1">
      <alignment vertical="center"/>
    </xf>
    <xf numFmtId="0" fontId="22" fillId="0" borderId="43" xfId="0" applyFont="1" applyBorder="1" applyAlignment="1">
      <alignment horizontal="justify" vertical="center" wrapText="1"/>
    </xf>
    <xf numFmtId="0" fontId="22" fillId="0" borderId="37" xfId="0" applyFont="1" applyBorder="1" applyAlignment="1">
      <alignment horizontal="center" vertical="center" wrapText="1"/>
    </xf>
    <xf numFmtId="171" fontId="22" fillId="0" borderId="37" xfId="0" applyNumberFormat="1" applyFont="1" applyBorder="1" applyAlignment="1">
      <alignment horizontal="center" vertical="center" wrapText="1"/>
    </xf>
    <xf numFmtId="0" fontId="18" fillId="6" borderId="37" xfId="0" applyFont="1" applyFill="1" applyBorder="1" applyAlignment="1">
      <alignment horizontal="center" vertical="center" wrapText="1"/>
    </xf>
    <xf numFmtId="167" fontId="22" fillId="0" borderId="56" xfId="0" applyNumberFormat="1" applyFont="1" applyBorder="1" applyAlignment="1">
      <alignment horizontal="center" vertical="center" wrapText="1"/>
    </xf>
    <xf numFmtId="0" fontId="10" fillId="0" borderId="21" xfId="0" applyFont="1" applyBorder="1" applyAlignment="1">
      <alignment horizontal="center" vertical="center" wrapText="1"/>
    </xf>
    <xf numFmtId="171" fontId="10" fillId="0" borderId="22" xfId="0" applyNumberFormat="1" applyFont="1" applyBorder="1" applyAlignment="1">
      <alignment horizontal="center" vertical="center"/>
    </xf>
    <xf numFmtId="167" fontId="24" fillId="0" borderId="41" xfId="0" applyNumberFormat="1" applyFont="1" applyBorder="1" applyAlignment="1">
      <alignment horizontal="center" vertical="center" wrapText="1"/>
    </xf>
    <xf numFmtId="0" fontId="16" fillId="0" borderId="23" xfId="0" applyFont="1" applyBorder="1" applyAlignment="1">
      <alignment vertical="center"/>
    </xf>
    <xf numFmtId="0" fontId="24" fillId="0" borderId="128" xfId="0" applyFont="1" applyBorder="1"/>
    <xf numFmtId="171" fontId="10" fillId="0" borderId="128" xfId="0" applyNumberFormat="1" applyFont="1" applyBorder="1" applyAlignment="1">
      <alignment horizontal="center" vertical="center"/>
    </xf>
    <xf numFmtId="14" fontId="10" fillId="0" borderId="36" xfId="0" applyNumberFormat="1" applyFont="1" applyBorder="1" applyAlignment="1">
      <alignment horizontal="center" vertical="center"/>
    </xf>
    <xf numFmtId="14" fontId="10" fillId="0" borderId="37" xfId="0" applyNumberFormat="1" applyFont="1" applyBorder="1" applyAlignment="1">
      <alignment horizontal="left" vertical="center" wrapText="1"/>
    </xf>
    <xf numFmtId="2" fontId="10" fillId="0" borderId="37" xfId="0" applyNumberFormat="1" applyFont="1" applyBorder="1" applyAlignment="1">
      <alignment horizontal="center" vertical="center"/>
    </xf>
    <xf numFmtId="0" fontId="24" fillId="0" borderId="37" xfId="0" applyFont="1" applyBorder="1" applyAlignment="1">
      <alignment horizontal="left" vertical="center"/>
    </xf>
    <xf numFmtId="0" fontId="24" fillId="0" borderId="56" xfId="0" applyFont="1" applyBorder="1" applyAlignment="1">
      <alignment horizontal="left" vertical="center"/>
    </xf>
    <xf numFmtId="0" fontId="22" fillId="0" borderId="22" xfId="0" applyFont="1" applyBorder="1" applyAlignment="1">
      <alignment horizontal="justify" vertical="center" wrapText="1"/>
    </xf>
    <xf numFmtId="167" fontId="22" fillId="0" borderId="41" xfId="0" applyNumberFormat="1" applyFont="1" applyBorder="1" applyAlignment="1">
      <alignment horizontal="center" vertical="center" wrapText="1"/>
    </xf>
    <xf numFmtId="0" fontId="0" fillId="0" borderId="120" xfId="0" applyBorder="1"/>
    <xf numFmtId="0" fontId="32" fillId="30" borderId="132" xfId="5" applyFont="1" applyFill="1" applyBorder="1" applyAlignment="1">
      <alignment horizontal="center" vertical="center" wrapText="1"/>
    </xf>
    <xf numFmtId="173" fontId="36" fillId="0" borderId="0" xfId="1" applyNumberFormat="1" applyFont="1" applyFill="1" applyBorder="1" applyAlignment="1">
      <alignment vertical="center" wrapText="1"/>
    </xf>
    <xf numFmtId="0" fontId="17" fillId="0" borderId="0" xfId="0" applyFont="1" applyAlignment="1">
      <alignment horizontal="left" vertical="center" wrapText="1"/>
    </xf>
    <xf numFmtId="0" fontId="11" fillId="0" borderId="130" xfId="0" applyFont="1" applyFill="1" applyBorder="1" applyAlignment="1">
      <alignment horizontal="center" vertical="center"/>
    </xf>
    <xf numFmtId="0" fontId="11" fillId="0" borderId="124" xfId="0" quotePrefix="1" applyFont="1" applyBorder="1" applyAlignment="1">
      <alignment horizontal="center" vertical="center"/>
    </xf>
    <xf numFmtId="0" fontId="11" fillId="0" borderId="128" xfId="0" quotePrefix="1" applyFont="1" applyBorder="1" applyAlignment="1">
      <alignment horizontal="center" vertical="center"/>
    </xf>
    <xf numFmtId="0" fontId="11" fillId="0" borderId="128" xfId="0" applyFont="1" applyBorder="1" applyAlignment="1">
      <alignment horizontal="right" vertical="center"/>
    </xf>
    <xf numFmtId="4" fontId="11" fillId="0" borderId="128" xfId="0" applyNumberFormat="1" applyFont="1" applyBorder="1" applyAlignment="1">
      <alignment horizontal="right" vertical="center"/>
    </xf>
    <xf numFmtId="10" fontId="18" fillId="0" borderId="128" xfId="0" applyNumberFormat="1" applyFont="1" applyBorder="1" applyAlignment="1">
      <alignment horizontal="right" vertical="center"/>
    </xf>
    <xf numFmtId="4" fontId="18" fillId="0" borderId="133" xfId="0" applyNumberFormat="1" applyFont="1" applyBorder="1" applyAlignment="1">
      <alignment horizontal="right" vertical="center"/>
    </xf>
    <xf numFmtId="0" fontId="18" fillId="32" borderId="21" xfId="0" applyFont="1" applyFill="1" applyBorder="1" applyAlignment="1">
      <alignment horizontal="center" vertical="center"/>
    </xf>
    <xf numFmtId="0" fontId="11" fillId="32" borderId="22" xfId="0" quotePrefix="1" applyFont="1" applyFill="1" applyBorder="1" applyAlignment="1">
      <alignment horizontal="center" vertical="center"/>
    </xf>
    <xf numFmtId="0" fontId="18" fillId="32" borderId="22" xfId="0" quotePrefix="1" applyFont="1" applyFill="1" applyBorder="1" applyAlignment="1">
      <alignment horizontal="left" vertical="center"/>
    </xf>
    <xf numFmtId="2" fontId="11" fillId="32" borderId="22" xfId="0" applyNumberFormat="1" applyFont="1" applyFill="1" applyBorder="1" applyAlignment="1">
      <alignment horizontal="right" vertical="center"/>
    </xf>
    <xf numFmtId="4" fontId="11" fillId="32" borderId="22" xfId="0" applyNumberFormat="1" applyFont="1" applyFill="1" applyBorder="1" applyAlignment="1">
      <alignment horizontal="right" vertical="center" wrapText="1"/>
    </xf>
    <xf numFmtId="4" fontId="11" fillId="32" borderId="22" xfId="0" applyNumberFormat="1" applyFont="1" applyFill="1" applyBorder="1" applyAlignment="1">
      <alignment horizontal="right" vertical="center"/>
    </xf>
    <xf numFmtId="4" fontId="11" fillId="32" borderId="41" xfId="0" applyNumberFormat="1" applyFont="1" applyFill="1" applyBorder="1" applyAlignment="1">
      <alignment horizontal="right" vertical="center"/>
    </xf>
    <xf numFmtId="4" fontId="11" fillId="0" borderId="131" xfId="0" applyNumberFormat="1" applyFont="1" applyBorder="1" applyAlignment="1">
      <alignment horizontal="right" vertical="center"/>
    </xf>
    <xf numFmtId="4" fontId="11" fillId="0" borderId="133" xfId="0" applyNumberFormat="1" applyFont="1" applyBorder="1" applyAlignment="1">
      <alignment horizontal="right" vertical="center"/>
    </xf>
    <xf numFmtId="0" fontId="29" fillId="0" borderId="0" xfId="0" applyFont="1" applyAlignment="1">
      <alignment horizontal="center" vertical="center"/>
    </xf>
    <xf numFmtId="0" fontId="18" fillId="0" borderId="0" xfId="0" applyFont="1" applyAlignment="1">
      <alignment horizontal="center" vertical="center"/>
    </xf>
    <xf numFmtId="2" fontId="29" fillId="0" borderId="0" xfId="0" applyNumberFormat="1" applyFont="1" applyAlignment="1">
      <alignment horizontal="center" vertical="center"/>
    </xf>
    <xf numFmtId="0" fontId="16" fillId="0" borderId="0" xfId="0" applyFont="1" applyBorder="1" applyAlignment="1">
      <alignment horizontal="center" vertical="center"/>
    </xf>
    <xf numFmtId="0" fontId="0" fillId="0" borderId="29" xfId="0" applyBorder="1" applyAlignment="1">
      <alignment horizontal="left" vertical="center"/>
    </xf>
    <xf numFmtId="2" fontId="73" fillId="0" borderId="1" xfId="0" applyNumberFormat="1" applyFont="1" applyFill="1" applyBorder="1" applyAlignment="1">
      <alignment horizontal="center" vertical="center"/>
    </xf>
    <xf numFmtId="0" fontId="10" fillId="0" borderId="36" xfId="0" applyFont="1" applyBorder="1" applyAlignment="1">
      <alignment vertical="center" wrapText="1"/>
    </xf>
    <xf numFmtId="0" fontId="24" fillId="0" borderId="56" xfId="0" applyFont="1" applyBorder="1" applyAlignment="1">
      <alignment wrapText="1"/>
    </xf>
    <xf numFmtId="0" fontId="24" fillId="0" borderId="55" xfId="0" applyFont="1" applyBorder="1" applyAlignment="1">
      <alignment horizontal="left" vertical="center" wrapText="1"/>
    </xf>
    <xf numFmtId="0" fontId="24" fillId="0" borderId="37" xfId="0" applyFont="1" applyBorder="1" applyAlignment="1">
      <alignment horizontal="center" vertical="center" wrapText="1"/>
    </xf>
    <xf numFmtId="2" fontId="23" fillId="0" borderId="14" xfId="0" applyNumberFormat="1" applyFont="1" applyBorder="1" applyAlignment="1">
      <alignment horizontal="center" vertical="center"/>
    </xf>
    <xf numFmtId="0" fontId="77" fillId="0" borderId="0" xfId="0" applyFont="1"/>
    <xf numFmtId="0" fontId="77" fillId="0" borderId="0" xfId="0" applyFont="1" applyAlignment="1">
      <alignment horizontal="center" vertical="center"/>
    </xf>
    <xf numFmtId="167" fontId="103" fillId="0" borderId="0" xfId="0" applyNumberFormat="1" applyFont="1" applyFill="1" applyBorder="1" applyAlignment="1" applyProtection="1"/>
    <xf numFmtId="0" fontId="0" fillId="0" borderId="0" xfId="0" applyAlignment="1">
      <alignment wrapText="1"/>
    </xf>
    <xf numFmtId="0" fontId="108" fillId="0" borderId="0" xfId="56" applyAlignment="1">
      <alignment horizontal="left" vertical="center"/>
    </xf>
    <xf numFmtId="0" fontId="26" fillId="0" borderId="0" xfId="0" applyFont="1" applyAlignment="1">
      <alignment horizontal="left" vertical="center"/>
    </xf>
    <xf numFmtId="2" fontId="73" fillId="0" borderId="0" xfId="0" applyNumberFormat="1" applyFont="1" applyAlignment="1">
      <alignment horizontal="center" vertical="center"/>
    </xf>
    <xf numFmtId="0" fontId="25" fillId="0" borderId="0" xfId="0" applyFont="1" applyBorder="1" applyAlignment="1">
      <alignment horizontal="right" vertical="center"/>
    </xf>
    <xf numFmtId="2" fontId="19" fillId="0" borderId="110" xfId="0" quotePrefix="1" applyNumberFormat="1" applyFont="1" applyFill="1" applyBorder="1" applyAlignment="1" applyProtection="1">
      <alignment vertical="center"/>
    </xf>
    <xf numFmtId="167" fontId="33" fillId="0" borderId="0" xfId="0" applyNumberFormat="1" applyFont="1" applyFill="1" applyBorder="1" applyAlignment="1" applyProtection="1">
      <alignment vertical="center" wrapText="1"/>
    </xf>
    <xf numFmtId="167" fontId="110" fillId="0" borderId="110" xfId="0" quotePrefix="1" applyNumberFormat="1" applyFont="1" applyFill="1" applyBorder="1" applyAlignment="1" applyProtection="1">
      <alignment horizontal="center" vertical="center" wrapText="1"/>
    </xf>
    <xf numFmtId="4" fontId="18" fillId="6" borderId="128" xfId="0" applyNumberFormat="1" applyFont="1" applyFill="1" applyBorder="1" applyAlignment="1">
      <alignment horizontal="right" vertical="center"/>
    </xf>
    <xf numFmtId="0" fontId="11" fillId="2" borderId="121" xfId="0" applyFont="1" applyFill="1" applyBorder="1" applyAlignment="1">
      <alignment horizontal="center" vertical="center"/>
    </xf>
    <xf numFmtId="167" fontId="23" fillId="2" borderId="135" xfId="0" applyNumberFormat="1" applyFont="1" applyFill="1" applyBorder="1" applyAlignment="1">
      <alignment horizontal="center" vertical="center" wrapText="1"/>
    </xf>
    <xf numFmtId="167" fontId="19" fillId="0" borderId="124" xfId="0" applyNumberFormat="1" applyFont="1" applyFill="1" applyBorder="1" applyAlignment="1" applyProtection="1">
      <alignment horizontal="center" vertical="center" wrapText="1"/>
    </xf>
    <xf numFmtId="167" fontId="19" fillId="0" borderId="118" xfId="0" applyNumberFormat="1" applyFont="1" applyFill="1" applyBorder="1" applyAlignment="1" applyProtection="1">
      <alignment horizontal="center" vertical="center" wrapText="1"/>
    </xf>
    <xf numFmtId="167" fontId="19" fillId="0" borderId="119" xfId="0" applyNumberFormat="1" applyFont="1" applyFill="1" applyBorder="1" applyAlignment="1" applyProtection="1">
      <alignment horizontal="center" vertical="center" wrapText="1"/>
    </xf>
    <xf numFmtId="167" fontId="19" fillId="0" borderId="128" xfId="0" applyNumberFormat="1" applyFont="1" applyFill="1" applyBorder="1" applyAlignment="1" applyProtection="1">
      <alignment horizontal="center" vertical="center" wrapText="1"/>
    </xf>
    <xf numFmtId="167" fontId="70" fillId="41" borderId="58" xfId="0" applyNumberFormat="1" applyFont="1" applyFill="1" applyBorder="1" applyAlignment="1" applyProtection="1">
      <alignment horizontal="center" vertical="center" wrapText="1"/>
    </xf>
    <xf numFmtId="14" fontId="11" fillId="0" borderId="13" xfId="0" applyNumberFormat="1" applyFont="1" applyBorder="1" applyAlignment="1">
      <alignment horizontal="right" vertical="center" wrapText="1"/>
    </xf>
    <xf numFmtId="4" fontId="67" fillId="0" borderId="0" xfId="0" applyNumberFormat="1" applyFont="1" applyBorder="1" applyAlignment="1">
      <alignment horizontal="left" vertical="center"/>
    </xf>
    <xf numFmtId="0" fontId="70" fillId="41" borderId="6" xfId="0" applyNumberFormat="1" applyFont="1" applyFill="1" applyBorder="1" applyAlignment="1" applyProtection="1">
      <alignment horizontal="center" vertical="center" wrapText="1"/>
    </xf>
    <xf numFmtId="167" fontId="19" fillId="41" borderId="58" xfId="0" applyNumberFormat="1" applyFont="1" applyFill="1" applyBorder="1" applyAlignment="1" applyProtection="1">
      <alignment horizontal="center" vertical="center" wrapText="1"/>
    </xf>
    <xf numFmtId="167" fontId="70" fillId="41" borderId="58" xfId="0" quotePrefix="1" applyNumberFormat="1" applyFont="1" applyFill="1" applyBorder="1" applyAlignment="1" applyProtection="1">
      <alignment horizontal="center" vertical="center" wrapText="1"/>
    </xf>
    <xf numFmtId="0" fontId="16" fillId="0" borderId="0" xfId="0" applyFont="1" applyBorder="1" applyAlignment="1">
      <alignment horizontal="center" vertical="center"/>
    </xf>
    <xf numFmtId="0" fontId="11" fillId="0" borderId="0" xfId="0" applyFont="1" applyBorder="1" applyAlignment="1">
      <alignment horizontal="left" vertical="center" wrapText="1"/>
    </xf>
    <xf numFmtId="4" fontId="23" fillId="0" borderId="6" xfId="0" applyNumberFormat="1" applyFont="1" applyFill="1" applyBorder="1" applyAlignment="1">
      <alignment horizontal="right" vertical="center"/>
    </xf>
    <xf numFmtId="0" fontId="25" fillId="0" borderId="9" xfId="0" applyFont="1" applyFill="1" applyBorder="1" applyAlignment="1">
      <alignment horizontal="justify" vertical="center" wrapText="1"/>
    </xf>
    <xf numFmtId="0" fontId="25" fillId="0" borderId="6" xfId="0" applyFont="1" applyFill="1" applyBorder="1" applyAlignment="1">
      <alignment horizontal="justify" vertical="center" wrapText="1"/>
    </xf>
    <xf numFmtId="0" fontId="23" fillId="31" borderId="45" xfId="0" applyFont="1" applyFill="1" applyBorder="1" applyAlignment="1">
      <alignment horizontal="center" vertical="center"/>
    </xf>
    <xf numFmtId="0" fontId="78" fillId="31" borderId="22" xfId="0" applyFont="1" applyFill="1" applyBorder="1" applyAlignment="1">
      <alignment horizontal="left" vertical="center" wrapText="1"/>
    </xf>
    <xf numFmtId="167" fontId="18" fillId="31" borderId="20" xfId="0" applyNumberFormat="1" applyFont="1" applyFill="1" applyBorder="1" applyAlignment="1">
      <alignment horizontal="center" vertical="center"/>
    </xf>
    <xf numFmtId="2" fontId="18" fillId="31" borderId="49" xfId="3" applyNumberFormat="1" applyFont="1" applyFill="1" applyBorder="1" applyAlignment="1">
      <alignment vertical="center"/>
    </xf>
    <xf numFmtId="0" fontId="24" fillId="0" borderId="28" xfId="0" applyFont="1" applyFill="1" applyBorder="1" applyAlignment="1">
      <alignment horizontal="left" vertical="center" wrapText="1"/>
    </xf>
    <xf numFmtId="0" fontId="24" fillId="0" borderId="28" xfId="0" applyFont="1" applyFill="1" applyBorder="1" applyAlignment="1">
      <alignment horizontal="right" vertical="center" wrapText="1"/>
    </xf>
    <xf numFmtId="0" fontId="24" fillId="0" borderId="13" xfId="0" applyFont="1" applyFill="1" applyBorder="1" applyAlignment="1">
      <alignment horizontal="left" vertical="center" wrapText="1"/>
    </xf>
    <xf numFmtId="0" fontId="24" fillId="0" borderId="13" xfId="0" applyFont="1" applyFill="1" applyBorder="1" applyAlignment="1">
      <alignment horizontal="right" vertical="center" wrapText="1"/>
    </xf>
    <xf numFmtId="0" fontId="10" fillId="0" borderId="13" xfId="0" applyFont="1" applyFill="1" applyBorder="1" applyAlignment="1">
      <alignment horizontal="left" vertical="center" wrapText="1"/>
    </xf>
    <xf numFmtId="0" fontId="24" fillId="0" borderId="47" xfId="0" applyFont="1" applyFill="1" applyBorder="1" applyAlignment="1">
      <alignment horizontal="left" vertical="center" wrapText="1"/>
    </xf>
    <xf numFmtId="0" fontId="10" fillId="0" borderId="13" xfId="0" applyFont="1" applyFill="1" applyBorder="1" applyAlignment="1">
      <alignment horizontal="right" vertical="center" wrapText="1"/>
    </xf>
    <xf numFmtId="0" fontId="24" fillId="0" borderId="47" xfId="0" applyFont="1" applyFill="1" applyBorder="1" applyAlignment="1">
      <alignment horizontal="right" vertical="center" wrapText="1"/>
    </xf>
    <xf numFmtId="0" fontId="24" fillId="0" borderId="76" xfId="0" applyFont="1" applyFill="1" applyBorder="1" applyAlignment="1">
      <alignment horizontal="left" vertical="center" wrapText="1"/>
    </xf>
    <xf numFmtId="0" fontId="10" fillId="0" borderId="77" xfId="0" applyFont="1" applyFill="1" applyBorder="1" applyAlignment="1">
      <alignment horizontal="left" vertical="center" wrapText="1"/>
    </xf>
    <xf numFmtId="0" fontId="24" fillId="0" borderId="77" xfId="0" applyFont="1" applyFill="1" applyBorder="1" applyAlignment="1">
      <alignment horizontal="left" vertical="center" wrapText="1"/>
    </xf>
    <xf numFmtId="0" fontId="73" fillId="0" borderId="77" xfId="0" applyFont="1" applyFill="1" applyBorder="1" applyAlignment="1">
      <alignment wrapText="1"/>
    </xf>
    <xf numFmtId="0" fontId="0" fillId="0" borderId="77" xfId="0" applyFill="1" applyBorder="1" applyAlignment="1">
      <alignment wrapText="1"/>
    </xf>
    <xf numFmtId="0" fontId="24" fillId="0" borderId="77" xfId="0" applyFont="1" applyFill="1" applyBorder="1" applyAlignment="1">
      <alignment wrapText="1"/>
    </xf>
    <xf numFmtId="0" fontId="24" fillId="0" borderId="78" xfId="0" applyFont="1" applyFill="1" applyBorder="1" applyAlignment="1">
      <alignment wrapText="1"/>
    </xf>
    <xf numFmtId="0" fontId="108" fillId="0" borderId="133" xfId="56" applyBorder="1" applyAlignment="1">
      <alignment horizontal="center" vertical="center" wrapText="1"/>
    </xf>
    <xf numFmtId="167" fontId="11" fillId="0" borderId="6" xfId="0" applyNumberFormat="1" applyFont="1" applyFill="1" applyBorder="1" applyAlignment="1">
      <alignment horizontal="right" vertical="center"/>
    </xf>
    <xf numFmtId="2" fontId="11" fillId="0" borderId="14" xfId="0" applyNumberFormat="1" applyFont="1" applyFill="1" applyBorder="1" applyAlignment="1">
      <alignment horizontal="right" vertical="center"/>
    </xf>
    <xf numFmtId="2" fontId="11" fillId="0" borderId="9" xfId="0" applyNumberFormat="1" applyFont="1" applyFill="1" applyBorder="1" applyAlignment="1">
      <alignment horizontal="right" vertical="center"/>
    </xf>
    <xf numFmtId="167" fontId="11" fillId="0" borderId="8" xfId="0" applyNumberFormat="1" applyFont="1" applyFill="1" applyBorder="1" applyAlignment="1">
      <alignment horizontal="right" vertical="center"/>
    </xf>
    <xf numFmtId="2" fontId="11" fillId="0" borderId="6" xfId="0" applyNumberFormat="1" applyFont="1" applyFill="1" applyBorder="1" applyAlignment="1">
      <alignment horizontal="right" vertical="center"/>
    </xf>
    <xf numFmtId="2" fontId="11" fillId="0" borderId="61" xfId="0" applyNumberFormat="1" applyFont="1" applyFill="1" applyBorder="1" applyAlignment="1">
      <alignment horizontal="right" vertical="center"/>
    </xf>
    <xf numFmtId="2" fontId="11" fillId="0" borderId="128" xfId="0" applyNumberFormat="1" applyFont="1" applyFill="1" applyBorder="1" applyAlignment="1">
      <alignment horizontal="right" vertical="center"/>
    </xf>
    <xf numFmtId="2" fontId="11" fillId="0" borderId="22" xfId="0" applyNumberFormat="1" applyFont="1" applyFill="1" applyBorder="1" applyAlignment="1">
      <alignment horizontal="right" vertical="center"/>
    </xf>
    <xf numFmtId="2" fontId="11" fillId="0" borderId="14" xfId="0" applyNumberFormat="1" applyFont="1" applyFill="1" applyBorder="1" applyAlignment="1">
      <alignment vertical="center"/>
    </xf>
    <xf numFmtId="2" fontId="11" fillId="0" borderId="6" xfId="0" applyNumberFormat="1" applyFont="1" applyFill="1" applyBorder="1" applyAlignment="1">
      <alignment vertical="center"/>
    </xf>
    <xf numFmtId="2" fontId="11" fillId="0" borderId="61" xfId="0" applyNumberFormat="1" applyFont="1" applyFill="1" applyBorder="1" applyAlignment="1">
      <alignment vertical="center"/>
    </xf>
    <xf numFmtId="2" fontId="11" fillId="0" borderId="8" xfId="0" applyNumberFormat="1" applyFont="1" applyFill="1" applyBorder="1" applyAlignment="1">
      <alignment horizontal="right" vertical="center"/>
    </xf>
    <xf numFmtId="2" fontId="7" fillId="5" borderId="22" xfId="0" applyNumberFormat="1" applyFont="1" applyFill="1" applyBorder="1" applyAlignment="1">
      <alignment horizontal="right" vertical="center" wrapText="1"/>
    </xf>
    <xf numFmtId="2" fontId="7" fillId="5" borderId="20" xfId="0" applyNumberFormat="1" applyFont="1" applyFill="1" applyBorder="1" applyAlignment="1">
      <alignment horizontal="right" vertical="center" wrapText="1"/>
    </xf>
    <xf numFmtId="2" fontId="18" fillId="5" borderId="20" xfId="0" applyNumberFormat="1" applyFont="1" applyFill="1" applyBorder="1" applyAlignment="1">
      <alignment horizontal="right" vertical="center" wrapText="1"/>
    </xf>
    <xf numFmtId="2" fontId="18" fillId="5" borderId="20" xfId="0" applyNumberFormat="1" applyFont="1" applyFill="1" applyBorder="1" applyAlignment="1">
      <alignment horizontal="center" vertical="center" wrapText="1"/>
    </xf>
    <xf numFmtId="4" fontId="11" fillId="0" borderId="128" xfId="0" applyNumberFormat="1" applyFont="1" applyFill="1" applyBorder="1" applyAlignment="1">
      <alignment horizontal="right" vertical="center" wrapText="1"/>
    </xf>
    <xf numFmtId="4" fontId="11" fillId="3" borderId="128" xfId="0" applyNumberFormat="1" applyFont="1" applyFill="1" applyBorder="1" applyAlignment="1">
      <alignment horizontal="right" vertical="center"/>
    </xf>
    <xf numFmtId="0" fontId="10" fillId="0" borderId="110" xfId="0" quotePrefix="1" applyFont="1" applyBorder="1" applyAlignment="1">
      <alignment horizontal="center" vertical="center"/>
    </xf>
    <xf numFmtId="0" fontId="9" fillId="0" borderId="110" xfId="0" quotePrefix="1" applyFont="1" applyBorder="1" applyAlignment="1">
      <alignment horizontal="center" vertical="center"/>
    </xf>
    <xf numFmtId="2" fontId="11" fillId="0" borderId="110" xfId="0" applyNumberFormat="1" applyFont="1" applyFill="1" applyBorder="1" applyAlignment="1">
      <alignment horizontal="right" vertical="center"/>
    </xf>
    <xf numFmtId="4" fontId="11" fillId="0" borderId="110" xfId="0" applyNumberFormat="1" applyFont="1" applyFill="1" applyBorder="1" applyAlignment="1">
      <alignment horizontal="right" vertical="center" wrapText="1"/>
    </xf>
    <xf numFmtId="4" fontId="11" fillId="3" borderId="110" xfId="0" applyNumberFormat="1" applyFont="1" applyFill="1" applyBorder="1" applyAlignment="1">
      <alignment horizontal="right" vertical="center"/>
    </xf>
    <xf numFmtId="4" fontId="11" fillId="0" borderId="110" xfId="0" applyNumberFormat="1" applyFont="1" applyBorder="1" applyAlignment="1">
      <alignment horizontal="right" vertical="center"/>
    </xf>
    <xf numFmtId="4" fontId="11" fillId="0" borderId="129" xfId="0" applyNumberFormat="1" applyFont="1" applyBorder="1" applyAlignment="1">
      <alignment horizontal="right" vertical="center"/>
    </xf>
    <xf numFmtId="0" fontId="11" fillId="0" borderId="110" xfId="0" quotePrefix="1" applyFont="1" applyBorder="1" applyAlignment="1">
      <alignment horizontal="center" vertical="center"/>
    </xf>
    <xf numFmtId="0" fontId="16" fillId="0" borderId="110" xfId="0" applyFont="1" applyBorder="1" applyAlignment="1">
      <alignment horizontal="left" vertical="center" wrapText="1"/>
    </xf>
    <xf numFmtId="0" fontId="11" fillId="32" borderId="23" xfId="0" applyFont="1" applyFill="1" applyBorder="1" applyAlignment="1">
      <alignment horizontal="center" vertical="center"/>
    </xf>
    <xf numFmtId="0" fontId="11" fillId="32" borderId="14" xfId="0" quotePrefix="1" applyFont="1" applyFill="1" applyBorder="1" applyAlignment="1">
      <alignment horizontal="center" vertical="center"/>
    </xf>
    <xf numFmtId="0" fontId="18" fillId="32" borderId="14" xfId="0" quotePrefix="1" applyFont="1" applyFill="1" applyBorder="1" applyAlignment="1">
      <alignment horizontal="left" vertical="center"/>
    </xf>
    <xf numFmtId="2" fontId="11" fillId="32" borderId="14" xfId="0" applyNumberFormat="1" applyFont="1" applyFill="1" applyBorder="1" applyAlignment="1">
      <alignment horizontal="right" vertical="center"/>
    </xf>
    <xf numFmtId="4" fontId="11" fillId="32" borderId="14" xfId="0" applyNumberFormat="1" applyFont="1" applyFill="1" applyBorder="1" applyAlignment="1">
      <alignment horizontal="right" vertical="center" wrapText="1"/>
    </xf>
    <xf numFmtId="4" fontId="11" fillId="32" borderId="14" xfId="0" applyNumberFormat="1" applyFont="1" applyFill="1" applyBorder="1" applyAlignment="1">
      <alignment horizontal="right" vertical="center"/>
    </xf>
    <xf numFmtId="4" fontId="11" fillId="32" borderId="19" xfId="0" applyNumberFormat="1" applyFont="1" applyFill="1" applyBorder="1" applyAlignment="1">
      <alignment horizontal="right" vertical="center"/>
    </xf>
    <xf numFmtId="0" fontId="11" fillId="0" borderId="21" xfId="0" quotePrefix="1" applyFont="1" applyBorder="1" applyAlignment="1">
      <alignment horizontal="center" vertical="center"/>
    </xf>
    <xf numFmtId="0" fontId="11" fillId="0" borderId="22" xfId="0" quotePrefix="1" applyFont="1" applyBorder="1" applyAlignment="1">
      <alignment horizontal="center" vertical="center"/>
    </xf>
    <xf numFmtId="0" fontId="11" fillId="0" borderId="22" xfId="0" applyFont="1" applyBorder="1" applyAlignment="1">
      <alignment horizontal="left" vertical="center" wrapText="1"/>
    </xf>
    <xf numFmtId="4" fontId="11" fillId="0" borderId="22" xfId="0" applyNumberFormat="1" applyFont="1" applyFill="1" applyBorder="1" applyAlignment="1">
      <alignment horizontal="right" vertical="center" wrapText="1"/>
    </xf>
    <xf numFmtId="4" fontId="11" fillId="3" borderId="22" xfId="0" applyNumberFormat="1" applyFont="1" applyFill="1" applyBorder="1" applyAlignment="1">
      <alignment horizontal="right" vertical="center"/>
    </xf>
    <xf numFmtId="4" fontId="11" fillId="0" borderId="22" xfId="0" applyNumberFormat="1" applyFont="1" applyBorder="1" applyAlignment="1">
      <alignment horizontal="right" vertical="center"/>
    </xf>
    <xf numFmtId="4" fontId="11" fillId="0" borderId="41" xfId="0" applyNumberFormat="1" applyFont="1" applyBorder="1" applyAlignment="1">
      <alignment horizontal="right" vertical="center"/>
    </xf>
    <xf numFmtId="0" fontId="11" fillId="0" borderId="110" xfId="0" applyFont="1" applyBorder="1" applyAlignment="1">
      <alignment horizontal="left" vertical="center" wrapText="1"/>
    </xf>
    <xf numFmtId="0" fontId="11" fillId="32" borderId="110" xfId="0" quotePrefix="1" applyFont="1" applyFill="1" applyBorder="1" applyAlignment="1">
      <alignment horizontal="center" vertical="center"/>
    </xf>
    <xf numFmtId="0" fontId="18" fillId="32" borderId="110" xfId="0" quotePrefix="1" applyFont="1" applyFill="1" applyBorder="1" applyAlignment="1">
      <alignment horizontal="left" vertical="center"/>
    </xf>
    <xf numFmtId="4" fontId="11" fillId="32" borderId="110" xfId="0" applyNumberFormat="1" applyFont="1" applyFill="1" applyBorder="1" applyAlignment="1">
      <alignment horizontal="right" vertical="center" wrapText="1"/>
    </xf>
    <xf numFmtId="4" fontId="11" fillId="32" borderId="110" xfId="0" applyNumberFormat="1" applyFont="1" applyFill="1" applyBorder="1" applyAlignment="1">
      <alignment horizontal="right" vertical="center"/>
    </xf>
    <xf numFmtId="4" fontId="11" fillId="32" borderId="129" xfId="0" applyNumberFormat="1" applyFont="1" applyFill="1" applyBorder="1" applyAlignment="1">
      <alignment horizontal="right" vertical="center"/>
    </xf>
    <xf numFmtId="0" fontId="28" fillId="0" borderId="110" xfId="0" applyFont="1" applyBorder="1" applyAlignment="1">
      <alignment horizontal="center" vertical="center"/>
    </xf>
    <xf numFmtId="0" fontId="87" fillId="0" borderId="110" xfId="0" applyFont="1" applyBorder="1" applyAlignment="1">
      <alignment horizontal="left" vertical="center" wrapText="1"/>
    </xf>
    <xf numFmtId="0" fontId="11" fillId="32" borderId="31" xfId="0" applyFont="1" applyFill="1" applyBorder="1" applyAlignment="1">
      <alignment horizontal="center" vertical="center"/>
    </xf>
    <xf numFmtId="0" fontId="11" fillId="32" borderId="8" xfId="0" quotePrefix="1" applyFont="1" applyFill="1" applyBorder="1" applyAlignment="1">
      <alignment horizontal="center" vertical="center"/>
    </xf>
    <xf numFmtId="0" fontId="18" fillId="32" borderId="8" xfId="0" quotePrefix="1" applyFont="1" applyFill="1" applyBorder="1" applyAlignment="1">
      <alignment horizontal="left" vertical="center"/>
    </xf>
    <xf numFmtId="2" fontId="11" fillId="32" borderId="8" xfId="0" applyNumberFormat="1" applyFont="1" applyFill="1" applyBorder="1" applyAlignment="1">
      <alignment horizontal="right" vertical="center"/>
    </xf>
    <xf numFmtId="4" fontId="11" fillId="32" borderId="8" xfId="0" applyNumberFormat="1" applyFont="1" applyFill="1" applyBorder="1" applyAlignment="1">
      <alignment horizontal="right" vertical="center" wrapText="1"/>
    </xf>
    <xf numFmtId="4" fontId="11" fillId="32" borderId="8" xfId="0" applyNumberFormat="1" applyFont="1" applyFill="1" applyBorder="1" applyAlignment="1">
      <alignment horizontal="right" vertical="center"/>
    </xf>
    <xf numFmtId="4" fontId="11" fillId="32" borderId="15" xfId="0" applyNumberFormat="1" applyFont="1" applyFill="1" applyBorder="1" applyAlignment="1">
      <alignment horizontal="right" vertical="center"/>
    </xf>
    <xf numFmtId="2" fontId="11" fillId="32" borderId="110" xfId="0" applyNumberFormat="1" applyFont="1" applyFill="1" applyBorder="1" applyAlignment="1">
      <alignment horizontal="right" vertical="center"/>
    </xf>
    <xf numFmtId="2" fontId="11" fillId="0" borderId="110" xfId="0" applyNumberFormat="1" applyFont="1" applyFill="1" applyBorder="1" applyAlignment="1">
      <alignment horizontal="right" vertical="center" wrapText="1"/>
    </xf>
    <xf numFmtId="166" fontId="11" fillId="0" borderId="21" xfId="0" quotePrefix="1" applyNumberFormat="1" applyFont="1" applyFill="1" applyBorder="1" applyAlignment="1">
      <alignment horizontal="center" vertical="center"/>
    </xf>
    <xf numFmtId="2" fontId="11" fillId="0" borderId="22" xfId="0" applyNumberFormat="1" applyFont="1" applyFill="1" applyBorder="1" applyAlignment="1">
      <alignment horizontal="right" vertical="center" wrapText="1"/>
    </xf>
    <xf numFmtId="4" fontId="11" fillId="0" borderId="20" xfId="0" applyNumberFormat="1" applyFont="1" applyFill="1" applyBorder="1" applyAlignment="1">
      <alignment horizontal="right" vertical="center" wrapText="1"/>
    </xf>
    <xf numFmtId="4" fontId="11" fillId="3" borderId="22" xfId="0" applyNumberFormat="1" applyFont="1" applyFill="1" applyBorder="1" applyAlignment="1">
      <alignment horizontal="right" vertical="center" wrapText="1"/>
    </xf>
    <xf numFmtId="4" fontId="11" fillId="0" borderId="20" xfId="0" applyNumberFormat="1" applyFont="1" applyBorder="1" applyAlignment="1">
      <alignment horizontal="right" vertical="center"/>
    </xf>
    <xf numFmtId="4" fontId="11" fillId="0" borderId="49" xfId="0" applyNumberFormat="1" applyFont="1" applyBorder="1" applyAlignment="1">
      <alignment horizontal="right" vertical="center"/>
    </xf>
    <xf numFmtId="0" fontId="11" fillId="0" borderId="132" xfId="0" quotePrefix="1" applyFont="1" applyBorder="1" applyAlignment="1">
      <alignment horizontal="center" vertical="center"/>
    </xf>
    <xf numFmtId="0" fontId="11" fillId="0" borderId="128" xfId="0" applyFont="1" applyBorder="1" applyAlignment="1">
      <alignment horizontal="left" vertical="center" wrapText="1"/>
    </xf>
    <xf numFmtId="0" fontId="11" fillId="0" borderId="121" xfId="0" applyFont="1" applyFill="1" applyBorder="1" applyAlignment="1">
      <alignment horizontal="center" vertical="center"/>
    </xf>
    <xf numFmtId="0" fontId="11" fillId="0" borderId="136" xfId="0" quotePrefix="1" applyFont="1" applyBorder="1" applyAlignment="1">
      <alignment horizontal="center" vertical="center"/>
    </xf>
    <xf numFmtId="0" fontId="11" fillId="0" borderId="136" xfId="0" quotePrefix="1" applyFont="1" applyBorder="1" applyAlignment="1">
      <alignment horizontal="left" vertical="center" wrapText="1"/>
    </xf>
    <xf numFmtId="2" fontId="11" fillId="0" borderId="136" xfId="0" applyNumberFormat="1" applyFont="1" applyFill="1" applyBorder="1" applyAlignment="1">
      <alignment horizontal="right" vertical="center"/>
    </xf>
    <xf numFmtId="0" fontId="11" fillId="0" borderId="136" xfId="0" applyFont="1" applyBorder="1" applyAlignment="1">
      <alignment horizontal="right" vertical="center"/>
    </xf>
    <xf numFmtId="4" fontId="11" fillId="0" borderId="136" xfId="0" applyNumberFormat="1" applyFont="1" applyBorder="1" applyAlignment="1">
      <alignment horizontal="right" vertical="center"/>
    </xf>
    <xf numFmtId="10" fontId="18" fillId="0" borderId="136" xfId="0" applyNumberFormat="1" applyFont="1" applyBorder="1" applyAlignment="1">
      <alignment horizontal="right" vertical="center"/>
    </xf>
    <xf numFmtId="4" fontId="18" fillId="0" borderId="135" xfId="0" applyNumberFormat="1" applyFont="1" applyBorder="1" applyAlignment="1">
      <alignment horizontal="right" vertical="center"/>
    </xf>
    <xf numFmtId="0" fontId="11" fillId="0" borderId="14" xfId="0" applyFont="1" applyBorder="1" applyAlignment="1">
      <alignment horizontal="left" vertical="center" wrapText="1"/>
    </xf>
    <xf numFmtId="4" fontId="11" fillId="3" borderId="14" xfId="0" applyNumberFormat="1" applyFont="1" applyFill="1" applyBorder="1" applyAlignment="1">
      <alignment horizontal="right" vertical="center"/>
    </xf>
    <xf numFmtId="4" fontId="11" fillId="0" borderId="19" xfId="0" applyNumberFormat="1" applyFont="1" applyBorder="1" applyAlignment="1">
      <alignment horizontal="right" vertical="center"/>
    </xf>
    <xf numFmtId="0" fontId="10" fillId="6" borderId="111" xfId="0" applyFont="1" applyFill="1" applyBorder="1" applyAlignment="1">
      <alignment horizontal="center" vertical="center"/>
    </xf>
    <xf numFmtId="0" fontId="11" fillId="0" borderId="14" xfId="0" applyNumberFormat="1" applyFont="1" applyFill="1" applyBorder="1" applyAlignment="1">
      <alignment horizontal="left" vertical="center" wrapText="1"/>
    </xf>
    <xf numFmtId="0" fontId="11" fillId="0" borderId="22" xfId="0" quotePrefix="1" applyFont="1" applyFill="1" applyBorder="1" applyAlignment="1">
      <alignment horizontal="left" vertical="center" wrapText="1"/>
    </xf>
    <xf numFmtId="0" fontId="11" fillId="0" borderId="110" xfId="0" applyNumberFormat="1" applyFont="1" applyBorder="1" applyAlignment="1">
      <alignment horizontal="center" vertical="center"/>
    </xf>
    <xf numFmtId="0" fontId="11" fillId="0" borderId="121" xfId="0" quotePrefix="1" applyFont="1" applyBorder="1" applyAlignment="1">
      <alignment horizontal="center" vertical="center"/>
    </xf>
    <xf numFmtId="0" fontId="16" fillId="0" borderId="136" xfId="0" applyFont="1" applyBorder="1" applyAlignment="1">
      <alignment horizontal="left" vertical="center" wrapText="1"/>
    </xf>
    <xf numFmtId="0" fontId="11" fillId="0" borderId="136" xfId="0" applyNumberFormat="1" applyFont="1" applyBorder="1" applyAlignment="1">
      <alignment horizontal="center" vertical="center"/>
    </xf>
    <xf numFmtId="0" fontId="18" fillId="32" borderId="128" xfId="0" quotePrefix="1" applyFont="1" applyFill="1" applyBorder="1" applyAlignment="1">
      <alignment horizontal="left" vertical="center"/>
    </xf>
    <xf numFmtId="0" fontId="11" fillId="0" borderId="110" xfId="0" applyFont="1" applyBorder="1" applyAlignment="1">
      <alignment horizontal="center" vertical="center"/>
    </xf>
    <xf numFmtId="0" fontId="11" fillId="0" borderId="110" xfId="0" applyFont="1" applyFill="1" applyBorder="1" applyAlignment="1">
      <alignment horizontal="justify" vertical="center" wrapText="1"/>
    </xf>
    <xf numFmtId="0" fontId="11" fillId="0" borderId="14" xfId="0" quotePrefix="1" applyFont="1" applyBorder="1" applyAlignment="1">
      <alignment horizontal="left" vertical="center" wrapText="1"/>
    </xf>
    <xf numFmtId="0" fontId="11" fillId="0" borderId="14" xfId="0" applyNumberFormat="1" applyFont="1" applyBorder="1" applyAlignment="1">
      <alignment horizontal="center" vertical="center"/>
    </xf>
    <xf numFmtId="0" fontId="11" fillId="0" borderId="20" xfId="0" quotePrefix="1" applyFont="1" applyBorder="1" applyAlignment="1">
      <alignment horizontal="left" vertical="center" wrapText="1"/>
    </xf>
    <xf numFmtId="0" fontId="11" fillId="0" borderId="22" xfId="0" applyNumberFormat="1" applyFont="1" applyBorder="1" applyAlignment="1">
      <alignment horizontal="center" vertical="center"/>
    </xf>
    <xf numFmtId="0" fontId="18" fillId="32" borderId="23" xfId="0" applyFont="1" applyFill="1" applyBorder="1" applyAlignment="1">
      <alignment horizontal="center" vertical="center"/>
    </xf>
    <xf numFmtId="0" fontId="11" fillId="0" borderId="22" xfId="0" applyFont="1" applyBorder="1" applyAlignment="1">
      <alignment horizontal="center" vertical="center"/>
    </xf>
    <xf numFmtId="0" fontId="31" fillId="0" borderId="22" xfId="0" applyNumberFormat="1" applyFont="1" applyBorder="1" applyAlignment="1">
      <alignment horizontal="center" vertical="center"/>
    </xf>
    <xf numFmtId="167" fontId="11" fillId="0" borderId="22" xfId="0" applyNumberFormat="1" applyFont="1" applyFill="1" applyBorder="1" applyAlignment="1">
      <alignment horizontal="right" vertical="center"/>
    </xf>
    <xf numFmtId="2" fontId="16" fillId="3" borderId="22" xfId="0" applyNumberFormat="1" applyFont="1" applyFill="1" applyBorder="1" applyAlignment="1">
      <alignment horizontal="right" vertical="center"/>
    </xf>
    <xf numFmtId="0" fontId="11" fillId="0" borderId="112" xfId="0" applyFont="1" applyBorder="1" applyAlignment="1">
      <alignment horizontal="center" vertical="center"/>
    </xf>
    <xf numFmtId="167" fontId="11" fillId="0" borderId="110" xfId="0" applyNumberFormat="1" applyFont="1" applyFill="1" applyBorder="1" applyAlignment="1">
      <alignment horizontal="right" vertical="center"/>
    </xf>
    <xf numFmtId="0" fontId="16" fillId="0" borderId="112" xfId="0" applyFont="1" applyBorder="1" applyAlignment="1">
      <alignment horizontal="center" vertical="center"/>
    </xf>
    <xf numFmtId="0" fontId="31" fillId="0" borderId="136" xfId="0" applyNumberFormat="1" applyFont="1" applyBorder="1" applyAlignment="1">
      <alignment horizontal="center" vertical="center"/>
    </xf>
    <xf numFmtId="167" fontId="11" fillId="0" borderId="14" xfId="0" applyNumberFormat="1" applyFont="1" applyFill="1" applyBorder="1" applyAlignment="1">
      <alignment horizontal="right" vertical="center"/>
    </xf>
    <xf numFmtId="2" fontId="16" fillId="3" borderId="14" xfId="0" applyNumberFormat="1" applyFont="1" applyFill="1" applyBorder="1" applyAlignment="1">
      <alignment horizontal="right" vertical="center"/>
    </xf>
    <xf numFmtId="0" fontId="16" fillId="0" borderId="22" xfId="0" applyFont="1" applyBorder="1" applyAlignment="1">
      <alignment horizontal="center" vertical="center"/>
    </xf>
    <xf numFmtId="167" fontId="11" fillId="0" borderId="128" xfId="0" applyNumberFormat="1" applyFont="1" applyFill="1" applyBorder="1" applyAlignment="1">
      <alignment horizontal="right" vertical="center"/>
    </xf>
    <xf numFmtId="2" fontId="16" fillId="3" borderId="128" xfId="0" applyNumberFormat="1" applyFont="1" applyFill="1" applyBorder="1" applyAlignment="1">
      <alignment horizontal="right" vertical="center"/>
    </xf>
    <xf numFmtId="0" fontId="11" fillId="0" borderId="131" xfId="0" applyFont="1" applyFill="1" applyBorder="1" applyAlignment="1">
      <alignment horizontal="center" vertical="center"/>
    </xf>
    <xf numFmtId="0" fontId="35" fillId="0" borderId="42" xfId="0" quotePrefix="1" applyFont="1" applyBorder="1" applyAlignment="1">
      <alignment horizontal="center" vertical="center"/>
    </xf>
    <xf numFmtId="0" fontId="35" fillId="0" borderId="122" xfId="0" quotePrefix="1" applyFont="1" applyBorder="1" applyAlignment="1">
      <alignment horizontal="center" vertical="center"/>
    </xf>
    <xf numFmtId="0" fontId="11" fillId="0" borderId="111" xfId="0" applyNumberFormat="1" applyFont="1" applyBorder="1" applyAlignment="1">
      <alignment horizontal="center" vertical="center"/>
    </xf>
    <xf numFmtId="0" fontId="11" fillId="0" borderId="14" xfId="0" applyFont="1" applyFill="1" applyBorder="1" applyAlignment="1">
      <alignment horizontal="center" vertical="center"/>
    </xf>
    <xf numFmtId="0" fontId="31" fillId="0" borderId="42" xfId="0" applyNumberFormat="1" applyFont="1" applyBorder="1" applyAlignment="1">
      <alignment horizontal="center" vertical="center"/>
    </xf>
    <xf numFmtId="0" fontId="11" fillId="0" borderId="83" xfId="0" applyFont="1" applyFill="1" applyBorder="1" applyAlignment="1">
      <alignment horizontal="center" vertical="center"/>
    </xf>
    <xf numFmtId="0" fontId="87" fillId="0" borderId="22" xfId="0" applyFont="1" applyBorder="1" applyAlignment="1">
      <alignment horizontal="left" vertical="center" wrapText="1"/>
    </xf>
    <xf numFmtId="0" fontId="31" fillId="0" borderId="84" xfId="0" applyNumberFormat="1" applyFont="1" applyBorder="1" applyAlignment="1">
      <alignment horizontal="center" vertical="center"/>
    </xf>
    <xf numFmtId="0" fontId="11" fillId="0" borderId="112" xfId="0" applyFont="1" applyFill="1" applyBorder="1" applyAlignment="1">
      <alignment horizontal="center" vertical="center"/>
    </xf>
    <xf numFmtId="0" fontId="31" fillId="0" borderId="111" xfId="0" applyNumberFormat="1" applyFont="1" applyBorder="1" applyAlignment="1">
      <alignment horizontal="center" vertical="center"/>
    </xf>
    <xf numFmtId="4" fontId="11" fillId="0" borderId="111" xfId="0" applyNumberFormat="1" applyFont="1" applyBorder="1" applyAlignment="1">
      <alignment horizontal="right" vertical="center"/>
    </xf>
    <xf numFmtId="2" fontId="11" fillId="3" borderId="110" xfId="1" applyNumberFormat="1" applyFont="1" applyFill="1" applyBorder="1" applyAlignment="1">
      <alignment horizontal="right" vertical="center"/>
    </xf>
    <xf numFmtId="0" fontId="16" fillId="0" borderId="14" xfId="0" applyFont="1" applyFill="1" applyBorder="1" applyAlignment="1">
      <alignment horizontal="center" vertical="center"/>
    </xf>
    <xf numFmtId="2" fontId="11" fillId="3" borderId="14" xfId="1" applyNumberFormat="1" applyFont="1" applyFill="1" applyBorder="1" applyAlignment="1" applyProtection="1">
      <alignment horizontal="right" vertical="center"/>
      <protection locked="0"/>
    </xf>
    <xf numFmtId="4" fontId="11" fillId="0" borderId="42" xfId="0" applyNumberFormat="1" applyFont="1" applyBorder="1" applyAlignment="1">
      <alignment horizontal="right" vertical="center"/>
    </xf>
    <xf numFmtId="0" fontId="11" fillId="0" borderId="45" xfId="0" quotePrefix="1" applyFont="1" applyBorder="1" applyAlignment="1">
      <alignment horizontal="center" vertical="center"/>
    </xf>
    <xf numFmtId="0" fontId="11" fillId="0" borderId="22" xfId="0" applyFont="1" applyFill="1" applyBorder="1" applyAlignment="1">
      <alignment horizontal="center" vertical="center"/>
    </xf>
    <xf numFmtId="0" fontId="11" fillId="0" borderId="22" xfId="0" applyFont="1" applyFill="1" applyBorder="1" applyAlignment="1">
      <alignment horizontal="left" vertical="center" wrapText="1"/>
    </xf>
    <xf numFmtId="2" fontId="11" fillId="3" borderId="22" xfId="1" applyNumberFormat="1" applyFont="1" applyFill="1" applyBorder="1" applyAlignment="1" applyProtection="1">
      <alignment horizontal="right" vertical="center"/>
      <protection locked="0"/>
    </xf>
    <xf numFmtId="4" fontId="11" fillId="0" borderId="84" xfId="0" applyNumberFormat="1" applyFont="1" applyBorder="1" applyAlignment="1">
      <alignment horizontal="right" vertical="center"/>
    </xf>
    <xf numFmtId="0" fontId="11" fillId="0" borderId="110" xfId="0" quotePrefix="1" applyFont="1" applyFill="1" applyBorder="1" applyAlignment="1">
      <alignment horizontal="center" vertical="center" wrapText="1"/>
    </xf>
    <xf numFmtId="0" fontId="11" fillId="0" borderId="14" xfId="0" quotePrefix="1" applyFont="1" applyFill="1" applyBorder="1" applyAlignment="1">
      <alignment horizontal="left" vertical="center" wrapText="1"/>
    </xf>
    <xf numFmtId="4" fontId="11" fillId="3" borderId="14" xfId="0" applyNumberFormat="1" applyFont="1" applyFill="1" applyBorder="1" applyAlignment="1">
      <alignment horizontal="right" vertical="center" wrapText="1"/>
    </xf>
    <xf numFmtId="0" fontId="11" fillId="0" borderId="52" xfId="0" quotePrefix="1" applyFont="1" applyBorder="1" applyAlignment="1">
      <alignment horizontal="center" vertical="center"/>
    </xf>
    <xf numFmtId="0" fontId="11" fillId="0" borderId="22" xfId="0" quotePrefix="1" applyFont="1" applyFill="1" applyBorder="1" applyAlignment="1">
      <alignment horizontal="center" vertical="center" wrapText="1"/>
    </xf>
    <xf numFmtId="0" fontId="11" fillId="0" borderId="14" xfId="0" quotePrefix="1" applyFont="1" applyFill="1" applyBorder="1" applyAlignment="1">
      <alignment horizontal="center" vertical="center" wrapText="1"/>
    </xf>
    <xf numFmtId="4" fontId="11" fillId="3" borderId="128" xfId="0" applyNumberFormat="1" applyFont="1" applyFill="1" applyBorder="1" applyAlignment="1">
      <alignment horizontal="right" vertical="center" wrapText="1"/>
    </xf>
    <xf numFmtId="0" fontId="11" fillId="0" borderId="112" xfId="0" quotePrefix="1" applyFont="1" applyFill="1" applyBorder="1" applyAlignment="1">
      <alignment horizontal="center" vertical="center" wrapText="1"/>
    </xf>
    <xf numFmtId="0" fontId="18" fillId="33" borderId="110" xfId="0" applyFont="1" applyFill="1" applyBorder="1" applyAlignment="1">
      <alignment horizontal="left" vertical="center" wrapText="1"/>
    </xf>
    <xf numFmtId="0" fontId="16" fillId="0" borderId="110" xfId="1" applyNumberFormat="1" applyFont="1" applyFill="1" applyBorder="1" applyAlignment="1">
      <alignment horizontal="center" vertical="center"/>
    </xf>
    <xf numFmtId="173" fontId="11" fillId="0" borderId="110" xfId="1" applyNumberFormat="1" applyFont="1" applyFill="1" applyBorder="1" applyAlignment="1">
      <alignment horizontal="left" vertical="center" wrapText="1"/>
    </xf>
    <xf numFmtId="173" fontId="16" fillId="0" borderId="110" xfId="1" applyNumberFormat="1" applyFont="1" applyBorder="1" applyAlignment="1">
      <alignment horizontal="center" vertical="center"/>
    </xf>
    <xf numFmtId="0" fontId="11" fillId="0" borderId="137" xfId="0" quotePrefix="1" applyFont="1" applyBorder="1" applyAlignment="1">
      <alignment horizontal="left" vertical="center"/>
    </xf>
    <xf numFmtId="4" fontId="11" fillId="6" borderId="14" xfId="0" applyNumberFormat="1" applyFont="1" applyFill="1" applyBorder="1" applyAlignment="1">
      <alignment horizontal="right" vertical="center"/>
    </xf>
    <xf numFmtId="173" fontId="11" fillId="3" borderId="128" xfId="0" applyNumberFormat="1" applyFont="1" applyFill="1" applyBorder="1" applyAlignment="1">
      <alignment horizontal="right" vertical="center" wrapText="1"/>
    </xf>
    <xf numFmtId="0" fontId="11" fillId="0" borderId="136" xfId="0" quotePrefix="1" applyFont="1" applyBorder="1" applyAlignment="1">
      <alignment horizontal="left" vertical="center"/>
    </xf>
    <xf numFmtId="0" fontId="18" fillId="33" borderId="23" xfId="0" applyFont="1" applyFill="1" applyBorder="1" applyAlignment="1">
      <alignment horizontal="center" vertical="center"/>
    </xf>
    <xf numFmtId="0" fontId="7" fillId="33" borderId="14" xfId="0" quotePrefix="1" applyFont="1" applyFill="1" applyBorder="1" applyAlignment="1">
      <alignment horizontal="center" vertical="center"/>
    </xf>
    <xf numFmtId="0" fontId="7" fillId="33" borderId="14" xfId="0" applyFont="1" applyFill="1" applyBorder="1" applyAlignment="1">
      <alignment horizontal="left" vertical="center" wrapText="1"/>
    </xf>
    <xf numFmtId="0" fontId="30" fillId="33" borderId="14" xfId="0" applyNumberFormat="1" applyFont="1" applyFill="1" applyBorder="1" applyAlignment="1">
      <alignment horizontal="center" vertical="center" wrapText="1"/>
    </xf>
    <xf numFmtId="2" fontId="7" fillId="33" borderId="14" xfId="0" applyNumberFormat="1" applyFont="1" applyFill="1" applyBorder="1" applyAlignment="1">
      <alignment horizontal="right" vertical="center" wrapText="1"/>
    </xf>
    <xf numFmtId="167" fontId="11" fillId="33" borderId="40" xfId="0" applyNumberFormat="1" applyFont="1" applyFill="1" applyBorder="1" applyAlignment="1">
      <alignment horizontal="right" vertical="center" wrapText="1"/>
    </xf>
    <xf numFmtId="4" fontId="7" fillId="33" borderId="14" xfId="0" applyNumberFormat="1" applyFont="1" applyFill="1" applyBorder="1" applyAlignment="1">
      <alignment horizontal="right" vertical="center" wrapText="1"/>
    </xf>
    <xf numFmtId="4" fontId="11" fillId="33" borderId="42" xfId="0" applyNumberFormat="1" applyFont="1" applyFill="1" applyBorder="1" applyAlignment="1">
      <alignment horizontal="right" vertical="center"/>
    </xf>
    <xf numFmtId="4" fontId="11" fillId="33" borderId="19" xfId="0" applyNumberFormat="1" applyFont="1" applyFill="1" applyBorder="1" applyAlignment="1">
      <alignment horizontal="right" vertical="center"/>
    </xf>
    <xf numFmtId="0" fontId="11" fillId="0" borderId="21" xfId="0" applyFont="1" applyFill="1" applyBorder="1" applyAlignment="1">
      <alignment horizontal="center" vertical="center"/>
    </xf>
    <xf numFmtId="167" fontId="11" fillId="0" borderId="22" xfId="0" applyNumberFormat="1" applyFont="1" applyFill="1" applyBorder="1" applyAlignment="1">
      <alignment horizontal="right" vertical="center" wrapText="1"/>
    </xf>
    <xf numFmtId="4" fontId="11" fillId="3" borderId="20" xfId="0" applyNumberFormat="1" applyFont="1" applyFill="1" applyBorder="1" applyAlignment="1">
      <alignment horizontal="right" vertical="center"/>
    </xf>
    <xf numFmtId="0" fontId="28" fillId="0" borderId="128" xfId="0" applyFont="1" applyBorder="1" applyAlignment="1">
      <alignment horizontal="center" vertical="center"/>
    </xf>
    <xf numFmtId="167" fontId="11" fillId="0" borderId="112" xfId="0" applyNumberFormat="1" applyFont="1" applyFill="1" applyBorder="1" applyAlignment="1">
      <alignment horizontal="right" vertical="center" wrapText="1"/>
    </xf>
    <xf numFmtId="0" fontId="7" fillId="33" borderId="110" xfId="0" quotePrefix="1" applyFont="1" applyFill="1" applyBorder="1" applyAlignment="1">
      <alignment horizontal="center" vertical="center"/>
    </xf>
    <xf numFmtId="0" fontId="7" fillId="33" borderId="110" xfId="0" applyFont="1" applyFill="1" applyBorder="1" applyAlignment="1">
      <alignment horizontal="left" vertical="center" wrapText="1"/>
    </xf>
    <xf numFmtId="0" fontId="30" fillId="33" borderId="110" xfId="0" applyNumberFormat="1" applyFont="1" applyFill="1" applyBorder="1" applyAlignment="1">
      <alignment horizontal="center" vertical="center" wrapText="1"/>
    </xf>
    <xf numFmtId="2" fontId="7" fillId="33" borderId="110" xfId="0" applyNumberFormat="1" applyFont="1" applyFill="1" applyBorder="1" applyAlignment="1">
      <alignment horizontal="right" vertical="center" wrapText="1"/>
    </xf>
    <xf numFmtId="167" fontId="11" fillId="33" borderId="112" xfId="0" applyNumberFormat="1" applyFont="1" applyFill="1" applyBorder="1" applyAlignment="1">
      <alignment horizontal="right" vertical="center" wrapText="1"/>
    </xf>
    <xf numFmtId="4" fontId="7" fillId="33" borderId="110" xfId="0" applyNumberFormat="1" applyFont="1" applyFill="1" applyBorder="1" applyAlignment="1">
      <alignment horizontal="right" vertical="center" wrapText="1"/>
    </xf>
    <xf numFmtId="4" fontId="11" fillId="33" borderId="131" xfId="0" applyNumberFormat="1" applyFont="1" applyFill="1" applyBorder="1" applyAlignment="1">
      <alignment horizontal="right" vertical="center"/>
    </xf>
    <xf numFmtId="4" fontId="11" fillId="33" borderId="133" xfId="0" applyNumberFormat="1" applyFont="1" applyFill="1" applyBorder="1" applyAlignment="1">
      <alignment horizontal="right" vertical="center"/>
    </xf>
    <xf numFmtId="0" fontId="34" fillId="33" borderId="110" xfId="0" applyFont="1" applyFill="1" applyBorder="1" applyAlignment="1">
      <alignment horizontal="left" vertical="center" wrapText="1"/>
    </xf>
    <xf numFmtId="167" fontId="11" fillId="0" borderId="124" xfId="0" applyNumberFormat="1" applyFont="1" applyFill="1" applyBorder="1" applyAlignment="1">
      <alignment horizontal="right" vertical="center" wrapText="1"/>
    </xf>
    <xf numFmtId="0" fontId="31" fillId="0" borderId="128" xfId="0" applyFont="1" applyBorder="1" applyAlignment="1">
      <alignment horizontal="center" vertical="center"/>
    </xf>
    <xf numFmtId="167" fontId="11" fillId="0" borderId="40" xfId="0" applyNumberFormat="1" applyFont="1" applyFill="1" applyBorder="1" applyAlignment="1">
      <alignment horizontal="right" vertical="center" wrapText="1"/>
    </xf>
    <xf numFmtId="0" fontId="11" fillId="0" borderId="136" xfId="0" applyFont="1" applyBorder="1" applyAlignment="1">
      <alignment horizontal="center" vertical="center"/>
    </xf>
    <xf numFmtId="0" fontId="11" fillId="0" borderId="136" xfId="0" applyFont="1" applyBorder="1" applyAlignment="1">
      <alignment horizontal="left" vertical="center" wrapText="1"/>
    </xf>
    <xf numFmtId="4" fontId="11" fillId="0" borderId="136" xfId="0" applyNumberFormat="1" applyFont="1" applyFill="1" applyBorder="1" applyAlignment="1">
      <alignment horizontal="right" vertical="center"/>
    </xf>
    <xf numFmtId="0" fontId="11" fillId="0" borderId="128" xfId="0" quotePrefix="1" applyFont="1" applyFill="1" applyBorder="1" applyAlignment="1">
      <alignment horizontal="center" vertical="center" wrapText="1"/>
    </xf>
    <xf numFmtId="167" fontId="11" fillId="3" borderId="110" xfId="0" applyNumberFormat="1" applyFont="1" applyFill="1" applyBorder="1" applyAlignment="1">
      <alignment horizontal="right" vertical="center"/>
    </xf>
    <xf numFmtId="2" fontId="11" fillId="3" borderId="110" xfId="0" applyNumberFormat="1" applyFont="1" applyFill="1" applyBorder="1" applyAlignment="1">
      <alignment horizontal="right" vertical="center" wrapText="1"/>
    </xf>
    <xf numFmtId="0" fontId="11" fillId="6" borderId="111" xfId="0" applyFont="1" applyFill="1" applyBorder="1" applyAlignment="1">
      <alignment horizontal="center" vertical="center"/>
    </xf>
    <xf numFmtId="0" fontId="11" fillId="6" borderId="110" xfId="0" applyNumberFormat="1" applyFont="1" applyFill="1" applyBorder="1" applyAlignment="1">
      <alignment horizontal="left" vertical="center" wrapText="1"/>
    </xf>
    <xf numFmtId="4" fontId="11" fillId="0" borderId="110" xfId="0" applyNumberFormat="1" applyFont="1" applyFill="1" applyBorder="1" applyAlignment="1">
      <alignment horizontal="right" vertical="center"/>
    </xf>
    <xf numFmtId="0" fontId="11" fillId="0" borderId="23" xfId="0" applyFont="1" applyFill="1" applyBorder="1" applyAlignment="1">
      <alignment horizontal="center" vertical="center"/>
    </xf>
    <xf numFmtId="0" fontId="16" fillId="0" borderId="118" xfId="0" applyNumberFormat="1" applyFont="1" applyBorder="1" applyAlignment="1">
      <alignment horizontal="center" vertical="center"/>
    </xf>
    <xf numFmtId="0" fontId="16" fillId="0" borderId="14" xfId="0" applyFont="1" applyBorder="1" applyAlignment="1">
      <alignment horizontal="left" vertical="center" wrapText="1"/>
    </xf>
    <xf numFmtId="0" fontId="28" fillId="0" borderId="14" xfId="0" applyFont="1" applyBorder="1" applyAlignment="1">
      <alignment horizontal="center" vertical="center"/>
    </xf>
    <xf numFmtId="4" fontId="16" fillId="0" borderId="118" xfId="0" applyNumberFormat="1" applyFont="1" applyFill="1" applyBorder="1" applyAlignment="1">
      <alignment horizontal="right" vertical="center"/>
    </xf>
    <xf numFmtId="167" fontId="11" fillId="3" borderId="14" xfId="0" applyNumberFormat="1" applyFont="1" applyFill="1" applyBorder="1" applyAlignment="1">
      <alignment horizontal="right" vertical="center"/>
    </xf>
    <xf numFmtId="0" fontId="16" fillId="0" borderId="22" xfId="0" applyNumberFormat="1" applyFont="1" applyBorder="1" applyAlignment="1">
      <alignment horizontal="center" vertical="center"/>
    </xf>
    <xf numFmtId="0" fontId="16" fillId="0" borderId="22" xfId="0" applyFont="1" applyBorder="1" applyAlignment="1">
      <alignment horizontal="left" vertical="center" wrapText="1"/>
    </xf>
    <xf numFmtId="0" fontId="28" fillId="0" borderId="22" xfId="0" applyFont="1" applyBorder="1" applyAlignment="1">
      <alignment horizontal="center" vertical="center"/>
    </xf>
    <xf numFmtId="4" fontId="16" fillId="0" borderId="22" xfId="0" applyNumberFormat="1" applyFont="1" applyFill="1" applyBorder="1" applyAlignment="1">
      <alignment horizontal="right" vertical="center"/>
    </xf>
    <xf numFmtId="167" fontId="11" fillId="3" borderId="22" xfId="0" applyNumberFormat="1" applyFont="1" applyFill="1" applyBorder="1" applyAlignment="1">
      <alignment horizontal="right" vertical="center"/>
    </xf>
    <xf numFmtId="0" fontId="11" fillId="0" borderId="40" xfId="0" quotePrefix="1" applyFont="1" applyBorder="1" applyAlignment="1">
      <alignment horizontal="left" vertical="center"/>
    </xf>
    <xf numFmtId="0" fontId="11" fillId="0" borderId="118" xfId="0" applyFont="1" applyBorder="1" applyAlignment="1">
      <alignment horizontal="left" vertical="center" wrapText="1"/>
    </xf>
    <xf numFmtId="0" fontId="9" fillId="0" borderId="14" xfId="0" quotePrefix="1" applyFont="1" applyBorder="1" applyAlignment="1">
      <alignment horizontal="center" vertical="center"/>
    </xf>
    <xf numFmtId="0" fontId="9" fillId="0" borderId="22" xfId="0" quotePrefix="1" applyFont="1" applyBorder="1" applyAlignment="1">
      <alignment horizontal="center" vertical="center"/>
    </xf>
    <xf numFmtId="0" fontId="11" fillId="0" borderId="0" xfId="0" applyFont="1" applyBorder="1" applyAlignment="1">
      <alignment horizontal="left" vertical="center" wrapText="1"/>
    </xf>
    <xf numFmtId="0" fontId="10" fillId="0" borderId="6" xfId="0" applyFont="1" applyBorder="1" applyAlignment="1">
      <alignment horizontal="center" vertical="center"/>
    </xf>
    <xf numFmtId="0" fontId="10" fillId="0" borderId="40" xfId="0" applyFont="1" applyBorder="1" applyAlignment="1">
      <alignment horizontal="center" vertical="center"/>
    </xf>
    <xf numFmtId="0" fontId="10" fillId="0" borderId="38" xfId="0" applyFont="1" applyBorder="1" applyAlignment="1">
      <alignment horizontal="center" vertical="center"/>
    </xf>
    <xf numFmtId="0" fontId="11" fillId="0" borderId="37" xfId="3" applyFont="1" applyFill="1" applyBorder="1" applyAlignment="1">
      <alignment horizontal="center" vertical="center" wrapText="1"/>
    </xf>
    <xf numFmtId="167" fontId="19" fillId="0" borderId="128" xfId="0" quotePrefix="1" applyNumberFormat="1" applyFont="1" applyFill="1" applyBorder="1" applyAlignment="1" applyProtection="1">
      <alignment horizontal="center" vertical="center" wrapText="1"/>
    </xf>
    <xf numFmtId="0" fontId="11" fillId="0" borderId="31" xfId="0" quotePrefix="1" applyFont="1" applyBorder="1" applyAlignment="1">
      <alignment horizontal="center" vertical="center"/>
    </xf>
    <xf numFmtId="0" fontId="11" fillId="0" borderId="8" xfId="0" quotePrefix="1" applyFont="1" applyBorder="1" applyAlignment="1">
      <alignment horizontal="center" vertical="center"/>
    </xf>
    <xf numFmtId="0" fontId="11" fillId="0" borderId="8" xfId="0" applyFont="1" applyBorder="1" applyAlignment="1">
      <alignment horizontal="left" vertical="center" wrapText="1"/>
    </xf>
    <xf numFmtId="167" fontId="11" fillId="0" borderId="82" xfId="0" applyNumberFormat="1" applyFont="1" applyFill="1" applyBorder="1" applyAlignment="1">
      <alignment horizontal="right" vertical="center" wrapText="1"/>
    </xf>
    <xf numFmtId="4" fontId="11" fillId="0" borderId="62" xfId="0" applyNumberFormat="1" applyFont="1" applyBorder="1" applyAlignment="1">
      <alignment horizontal="right" vertical="center"/>
    </xf>
    <xf numFmtId="4" fontId="11" fillId="0" borderId="64" xfId="0" applyNumberFormat="1" applyFont="1" applyBorder="1" applyAlignment="1">
      <alignment horizontal="right" vertical="center"/>
    </xf>
    <xf numFmtId="0" fontId="9" fillId="0" borderId="6" xfId="0" quotePrefix="1" applyFont="1" applyFill="1" applyBorder="1" applyAlignment="1">
      <alignment horizontal="center" vertical="center" wrapText="1"/>
    </xf>
    <xf numFmtId="167" fontId="11" fillId="0" borderId="6" xfId="0" applyNumberFormat="1" applyFont="1" applyFill="1" applyBorder="1" applyAlignment="1">
      <alignment horizontal="right" vertical="center" wrapText="1"/>
    </xf>
    <xf numFmtId="0" fontId="11" fillId="0" borderId="6" xfId="0" applyFont="1" applyBorder="1" applyAlignment="1">
      <alignment horizontal="left" vertical="center"/>
    </xf>
    <xf numFmtId="167" fontId="11" fillId="0" borderId="6" xfId="0" applyNumberFormat="1" applyFont="1" applyBorder="1" applyAlignment="1">
      <alignment horizontal="right" vertical="center"/>
    </xf>
    <xf numFmtId="167" fontId="11" fillId="0" borderId="16" xfId="0" applyNumberFormat="1" applyFont="1" applyBorder="1" applyAlignment="1">
      <alignment horizontal="right" vertical="center"/>
    </xf>
    <xf numFmtId="0" fontId="11" fillId="0" borderId="6" xfId="5" applyFont="1" applyBorder="1" applyAlignment="1">
      <alignment horizontal="left" vertical="center" wrapText="1"/>
    </xf>
    <xf numFmtId="0" fontId="31" fillId="0" borderId="6" xfId="0" applyFont="1" applyBorder="1" applyAlignment="1">
      <alignment horizontal="center" vertical="center"/>
    </xf>
    <xf numFmtId="167" fontId="19" fillId="0" borderId="6" xfId="0" quotePrefix="1" applyNumberFormat="1" applyFont="1" applyFill="1" applyBorder="1" applyAlignment="1" applyProtection="1">
      <alignment horizontal="center" vertical="center" wrapText="1"/>
    </xf>
    <xf numFmtId="2" fontId="70" fillId="41" borderId="136" xfId="0" applyNumberFormat="1" applyFont="1" applyFill="1" applyBorder="1" applyAlignment="1" applyProtection="1">
      <alignment vertical="center"/>
    </xf>
    <xf numFmtId="2" fontId="64" fillId="41" borderId="6" xfId="0" applyNumberFormat="1" applyFont="1" applyFill="1" applyBorder="1" applyAlignment="1" applyProtection="1">
      <alignment vertical="center"/>
    </xf>
    <xf numFmtId="2" fontId="11" fillId="3" borderId="6" xfId="1" applyNumberFormat="1" applyFont="1" applyFill="1" applyBorder="1" applyAlignment="1" applyProtection="1">
      <alignment horizontal="right" vertical="center"/>
      <protection locked="0"/>
    </xf>
    <xf numFmtId="0" fontId="16" fillId="0" borderId="6" xfId="0" applyFont="1" applyFill="1" applyBorder="1" applyAlignment="1">
      <alignment horizontal="center" vertical="center"/>
    </xf>
    <xf numFmtId="0" fontId="11" fillId="0" borderId="6" xfId="0" applyNumberFormat="1" applyFont="1" applyFill="1" applyBorder="1" applyAlignment="1">
      <alignment horizontal="left" vertical="center" wrapText="1"/>
    </xf>
    <xf numFmtId="2" fontId="11" fillId="3" borderId="6" xfId="1" applyNumberFormat="1" applyFont="1" applyFill="1" applyBorder="1" applyAlignment="1">
      <alignment horizontal="right" vertical="center" wrapText="1"/>
    </xf>
    <xf numFmtId="2" fontId="11" fillId="3" borderId="6" xfId="1" applyNumberFormat="1" applyFont="1" applyFill="1" applyBorder="1" applyAlignment="1">
      <alignment horizontal="right" vertical="center"/>
    </xf>
    <xf numFmtId="0" fontId="11" fillId="0" borderId="6" xfId="0" quotePrefix="1" applyFont="1" applyFill="1" applyBorder="1" applyAlignment="1">
      <alignment horizontal="right" vertical="center" wrapText="1"/>
    </xf>
    <xf numFmtId="0" fontId="11" fillId="0" borderId="6" xfId="0" applyFont="1" applyFill="1" applyBorder="1" applyAlignment="1">
      <alignment vertical="center" wrapText="1"/>
    </xf>
    <xf numFmtId="0" fontId="10" fillId="0" borderId="133" xfId="0" applyFont="1" applyBorder="1" applyAlignment="1">
      <alignment horizontal="center" vertical="center" wrapText="1"/>
    </xf>
    <xf numFmtId="0" fontId="24" fillId="0" borderId="121" xfId="0" applyFont="1" applyBorder="1"/>
    <xf numFmtId="0" fontId="25" fillId="0" borderId="136" xfId="0" applyFont="1" applyBorder="1" applyAlignment="1">
      <alignment horizontal="right" vertical="center"/>
    </xf>
    <xf numFmtId="2" fontId="25" fillId="0" borderId="136" xfId="0" applyNumberFormat="1" applyFont="1" applyBorder="1" applyAlignment="1">
      <alignment horizontal="center" vertical="center"/>
    </xf>
    <xf numFmtId="0" fontId="24" fillId="0" borderId="135" xfId="0" applyFont="1" applyBorder="1"/>
    <xf numFmtId="0" fontId="10" fillId="0" borderId="111" xfId="0" applyFont="1" applyBorder="1" applyAlignment="1">
      <alignment horizontal="justify" vertical="center" wrapText="1"/>
    </xf>
    <xf numFmtId="0" fontId="10" fillId="0" borderId="31" xfId="0" applyFont="1" applyFill="1" applyBorder="1" applyAlignment="1">
      <alignment horizontal="center" vertical="center"/>
    </xf>
    <xf numFmtId="14" fontId="10" fillId="0" borderId="14" xfId="0" applyNumberFormat="1" applyFont="1" applyBorder="1" applyAlignment="1">
      <alignment horizontal="left" vertical="center" wrapText="1"/>
    </xf>
    <xf numFmtId="0" fontId="108" fillId="0" borderId="19" xfId="56" applyBorder="1" applyAlignment="1">
      <alignment horizontal="center" vertical="center" wrapText="1"/>
    </xf>
    <xf numFmtId="0" fontId="10" fillId="0" borderId="0" xfId="0" applyFont="1" applyBorder="1" applyAlignment="1">
      <alignment horizontal="left" vertical="center" wrapText="1"/>
    </xf>
    <xf numFmtId="0" fontId="10" fillId="0" borderId="14" xfId="0" applyFont="1" applyBorder="1" applyAlignment="1">
      <alignment horizontal="justify" vertical="center" wrapText="1"/>
    </xf>
    <xf numFmtId="0" fontId="10" fillId="0" borderId="45" xfId="0" applyFont="1" applyBorder="1" applyAlignment="1">
      <alignment horizontal="center" vertical="center" wrapText="1"/>
    </xf>
    <xf numFmtId="0" fontId="10" fillId="0" borderId="34" xfId="0" applyFont="1" applyBorder="1" applyAlignment="1">
      <alignment horizontal="left" vertical="center" wrapText="1"/>
    </xf>
    <xf numFmtId="0" fontId="79" fillId="0" borderId="0" xfId="0" applyFont="1" applyBorder="1"/>
    <xf numFmtId="167" fontId="25" fillId="0" borderId="133" xfId="0" applyNumberFormat="1" applyFont="1" applyFill="1" applyBorder="1" applyAlignment="1">
      <alignment horizontal="center" vertical="center" wrapText="1"/>
    </xf>
    <xf numFmtId="0" fontId="22" fillId="0" borderId="128" xfId="0" applyFont="1" applyFill="1" applyBorder="1" applyAlignment="1">
      <alignment horizontal="justify" vertical="center" wrapText="1"/>
    </xf>
    <xf numFmtId="0" fontId="79" fillId="0" borderId="0" xfId="0" applyFont="1" applyBorder="1" applyAlignment="1">
      <alignment horizontal="left" vertical="center" wrapText="1"/>
    </xf>
    <xf numFmtId="0" fontId="10" fillId="0" borderId="23" xfId="0" quotePrefix="1" applyFont="1" applyFill="1" applyBorder="1" applyAlignment="1">
      <alignment horizontal="center" vertical="center"/>
    </xf>
    <xf numFmtId="0" fontId="10" fillId="0" borderId="14" xfId="0" quotePrefix="1" applyFont="1" applyFill="1" applyBorder="1" applyAlignment="1">
      <alignment horizontal="center" vertical="center"/>
    </xf>
    <xf numFmtId="171" fontId="10" fillId="0" borderId="14" xfId="0" applyNumberFormat="1" applyFont="1" applyFill="1" applyBorder="1" applyAlignment="1">
      <alignment horizontal="center" vertical="center"/>
    </xf>
    <xf numFmtId="167" fontId="10" fillId="0" borderId="14" xfId="0" applyNumberFormat="1" applyFont="1" applyFill="1" applyBorder="1" applyAlignment="1">
      <alignment horizontal="center" vertical="center"/>
    </xf>
    <xf numFmtId="171" fontId="24" fillId="0" borderId="19" xfId="0" applyNumberFormat="1" applyFont="1" applyFill="1" applyBorder="1" applyAlignment="1">
      <alignment horizontal="center" vertical="center" wrapText="1"/>
    </xf>
    <xf numFmtId="0" fontId="10" fillId="0" borderId="21" xfId="0" quotePrefix="1" applyFont="1" applyFill="1" applyBorder="1" applyAlignment="1">
      <alignment horizontal="center" vertical="center"/>
    </xf>
    <xf numFmtId="0" fontId="10" fillId="0" borderId="22" xfId="0" quotePrefix="1" applyFont="1" applyFill="1" applyBorder="1" applyAlignment="1">
      <alignment horizontal="center" vertical="center"/>
    </xf>
    <xf numFmtId="171" fontId="10" fillId="0" borderId="22" xfId="0" applyNumberFormat="1" applyFont="1" applyFill="1" applyBorder="1" applyAlignment="1">
      <alignment horizontal="center" vertical="center"/>
    </xf>
    <xf numFmtId="167" fontId="10" fillId="0" borderId="22" xfId="0" applyNumberFormat="1" applyFont="1" applyFill="1" applyBorder="1" applyAlignment="1">
      <alignment horizontal="center" vertical="center"/>
    </xf>
    <xf numFmtId="182" fontId="24" fillId="0" borderId="41" xfId="0" applyNumberFormat="1" applyFont="1" applyFill="1" applyBorder="1" applyAlignment="1">
      <alignment horizontal="center" vertical="center" wrapText="1"/>
    </xf>
    <xf numFmtId="0" fontId="11" fillId="0" borderId="121" xfId="3" applyFont="1" applyFill="1" applyBorder="1" applyAlignment="1">
      <alignment horizontal="center" vertical="center"/>
    </xf>
    <xf numFmtId="167" fontId="23" fillId="0" borderId="135" xfId="3" applyNumberFormat="1" applyFont="1" applyFill="1" applyBorder="1" applyAlignment="1">
      <alignment horizontal="center" vertical="center" wrapText="1"/>
    </xf>
    <xf numFmtId="0" fontId="10" fillId="2" borderId="121" xfId="0" applyFont="1" applyFill="1" applyBorder="1" applyAlignment="1">
      <alignment horizontal="center" vertical="center"/>
    </xf>
    <xf numFmtId="0" fontId="10" fillId="0" borderId="23" xfId="0" applyFont="1" applyBorder="1" applyAlignment="1">
      <alignment horizontal="center" vertical="center"/>
    </xf>
    <xf numFmtId="0" fontId="23" fillId="0" borderId="14" xfId="0" applyFont="1" applyBorder="1" applyAlignment="1">
      <alignment horizontal="right" vertical="center" wrapText="1"/>
    </xf>
    <xf numFmtId="167" fontId="10" fillId="0" borderId="14" xfId="0" applyNumberFormat="1" applyFont="1" applyBorder="1" applyAlignment="1">
      <alignment horizontal="center" vertical="center" wrapText="1"/>
    </xf>
    <xf numFmtId="167" fontId="10" fillId="0" borderId="14" xfId="0" applyNumberFormat="1" applyFont="1" applyBorder="1" applyAlignment="1">
      <alignment vertical="center"/>
    </xf>
    <xf numFmtId="4" fontId="23" fillId="6" borderId="14" xfId="0" applyNumberFormat="1" applyFont="1" applyFill="1" applyBorder="1" applyAlignment="1">
      <alignment horizontal="right" vertical="center"/>
    </xf>
    <xf numFmtId="167" fontId="23" fillId="0" borderId="19" xfId="0" applyNumberFormat="1" applyFont="1" applyBorder="1" applyAlignment="1">
      <alignment horizontal="center" vertical="center"/>
    </xf>
    <xf numFmtId="0" fontId="23" fillId="4" borderId="21" xfId="0" quotePrefix="1" applyFont="1" applyFill="1" applyBorder="1" applyAlignment="1">
      <alignment vertical="center"/>
    </xf>
    <xf numFmtId="0" fontId="23" fillId="0" borderId="34" xfId="0" applyFont="1" applyBorder="1" applyAlignment="1">
      <alignment horizontal="justify" vertical="center" wrapText="1"/>
    </xf>
    <xf numFmtId="0" fontId="23" fillId="0" borderId="22" xfId="0" applyFont="1" applyBorder="1" applyAlignment="1">
      <alignment horizontal="center" vertical="center" wrapText="1"/>
    </xf>
    <xf numFmtId="171" fontId="23" fillId="0" borderId="22" xfId="0" applyNumberFormat="1" applyFont="1" applyBorder="1" applyAlignment="1">
      <alignment horizontal="center" vertical="center" wrapText="1"/>
    </xf>
    <xf numFmtId="167" fontId="23" fillId="0" borderId="22" xfId="0" applyNumberFormat="1" applyFont="1" applyBorder="1" applyAlignment="1">
      <alignment horizontal="center" vertical="center" wrapText="1"/>
    </xf>
    <xf numFmtId="0" fontId="0" fillId="0" borderId="118" xfId="0" applyBorder="1"/>
    <xf numFmtId="0" fontId="0" fillId="0" borderId="119" xfId="0" applyBorder="1"/>
    <xf numFmtId="0" fontId="23" fillId="0" borderId="120" xfId="0" applyFont="1" applyBorder="1" applyAlignment="1">
      <alignment vertical="center" wrapText="1"/>
    </xf>
    <xf numFmtId="0" fontId="18" fillId="0" borderId="132" xfId="0" applyFont="1" applyBorder="1" applyAlignment="1">
      <alignment vertical="center" wrapText="1"/>
    </xf>
    <xf numFmtId="0" fontId="11" fillId="0" borderId="128" xfId="0" applyFont="1" applyBorder="1" applyAlignment="1">
      <alignment vertical="center" wrapText="1"/>
    </xf>
    <xf numFmtId="167" fontId="11" fillId="0" borderId="128" xfId="0" applyNumberFormat="1" applyFont="1" applyBorder="1" applyAlignment="1">
      <alignment vertical="center" wrapText="1"/>
    </xf>
    <xf numFmtId="167" fontId="11" fillId="0" borderId="128" xfId="0" applyNumberFormat="1" applyFont="1" applyBorder="1" applyAlignment="1">
      <alignment vertical="center"/>
    </xf>
    <xf numFmtId="167" fontId="11" fillId="0" borderId="128" xfId="0" applyNumberFormat="1" applyFont="1" applyBorder="1" applyAlignment="1">
      <alignment horizontal="center" vertical="center"/>
    </xf>
    <xf numFmtId="172" fontId="11" fillId="0" borderId="14" xfId="0" applyNumberFormat="1" applyFont="1" applyBorder="1" applyAlignment="1">
      <alignment horizontal="center" vertical="center"/>
    </xf>
    <xf numFmtId="167" fontId="11" fillId="0" borderId="19" xfId="0" applyNumberFormat="1" applyFont="1" applyBorder="1" applyAlignment="1">
      <alignment horizontal="center" vertical="center"/>
    </xf>
    <xf numFmtId="0" fontId="32" fillId="0" borderId="21" xfId="5" applyFont="1" applyBorder="1" applyAlignment="1">
      <alignment horizontal="center" vertical="center" wrapText="1"/>
    </xf>
    <xf numFmtId="0" fontId="32" fillId="0" borderId="22" xfId="5" applyFont="1" applyBorder="1" applyAlignment="1">
      <alignment horizontal="left" vertical="center" wrapText="1"/>
    </xf>
    <xf numFmtId="167" fontId="11" fillId="0" borderId="22" xfId="0" applyNumberFormat="1" applyFont="1" applyBorder="1" applyAlignment="1">
      <alignment vertical="center" wrapText="1"/>
    </xf>
    <xf numFmtId="167" fontId="11" fillId="0" borderId="22" xfId="0" applyNumberFormat="1" applyFont="1" applyBorder="1" applyAlignment="1">
      <alignment vertical="center"/>
    </xf>
    <xf numFmtId="4" fontId="18" fillId="6" borderId="20" xfId="0" applyNumberFormat="1" applyFont="1" applyFill="1" applyBorder="1" applyAlignment="1">
      <alignment horizontal="right" vertical="center"/>
    </xf>
    <xf numFmtId="167" fontId="18" fillId="0" borderId="41" xfId="0" applyNumberFormat="1" applyFont="1" applyBorder="1" applyAlignment="1">
      <alignment horizontal="center" vertical="center"/>
    </xf>
    <xf numFmtId="0" fontId="22" fillId="0" borderId="14" xfId="0" applyFont="1" applyBorder="1" applyAlignment="1">
      <alignment horizontal="justify" vertical="center" wrapText="1"/>
    </xf>
    <xf numFmtId="0" fontId="18" fillId="6" borderId="14" xfId="0" applyFont="1" applyFill="1" applyBorder="1" applyAlignment="1">
      <alignment horizontal="center" vertical="center" wrapText="1"/>
    </xf>
    <xf numFmtId="167" fontId="22" fillId="0" borderId="19" xfId="0" applyNumberFormat="1" applyFont="1" applyBorder="1" applyAlignment="1">
      <alignment horizontal="center" vertical="center" wrapText="1"/>
    </xf>
    <xf numFmtId="172" fontId="16" fillId="0" borderId="22" xfId="0" applyNumberFormat="1" applyFont="1" applyBorder="1" applyAlignment="1">
      <alignment horizontal="center" vertical="center" wrapText="1"/>
    </xf>
    <xf numFmtId="167" fontId="11" fillId="0" borderId="20" xfId="0" applyNumberFormat="1" applyFont="1" applyBorder="1" applyAlignment="1">
      <alignment horizontal="center" vertical="center"/>
    </xf>
    <xf numFmtId="167" fontId="11" fillId="0" borderId="41" xfId="0" applyNumberFormat="1" applyFont="1" applyBorder="1" applyAlignment="1">
      <alignment horizontal="center" vertical="center"/>
    </xf>
    <xf numFmtId="167" fontId="10" fillId="0" borderId="128" xfId="0" applyNumberFormat="1" applyFont="1" applyFill="1" applyBorder="1" applyAlignment="1">
      <alignment horizontal="center" vertical="center"/>
    </xf>
    <xf numFmtId="0" fontId="32" fillId="0" borderId="24" xfId="5" applyFont="1" applyFill="1" applyBorder="1" applyAlignment="1">
      <alignment horizontal="center" vertical="center" wrapText="1"/>
    </xf>
    <xf numFmtId="4" fontId="18" fillId="0" borderId="128" xfId="0" applyNumberFormat="1" applyFont="1" applyFill="1" applyBorder="1" applyAlignment="1">
      <alignment horizontal="right" vertical="center"/>
    </xf>
    <xf numFmtId="166" fontId="10" fillId="0" borderId="23" xfId="0" applyNumberFormat="1" applyFont="1" applyFill="1" applyBorder="1" applyAlignment="1">
      <alignment horizontal="center" vertical="center" wrapText="1"/>
    </xf>
    <xf numFmtId="0" fontId="24" fillId="0" borderId="14" xfId="0" applyFont="1" applyFill="1" applyBorder="1" applyAlignment="1">
      <alignment horizontal="left" vertical="center" wrapText="1"/>
    </xf>
    <xf numFmtId="0" fontId="16" fillId="0" borderId="14" xfId="0" applyFont="1" applyFill="1" applyBorder="1" applyAlignment="1">
      <alignment horizontal="center" vertical="center" wrapText="1"/>
    </xf>
    <xf numFmtId="179" fontId="24" fillId="0" borderId="14" xfId="0" applyNumberFormat="1" applyFont="1" applyFill="1" applyBorder="1" applyAlignment="1">
      <alignment horizontal="center" vertical="center" wrapText="1"/>
    </xf>
    <xf numFmtId="167" fontId="10" fillId="0" borderId="19" xfId="0" applyNumberFormat="1" applyFont="1" applyFill="1" applyBorder="1" applyAlignment="1">
      <alignment horizontal="center" vertical="center"/>
    </xf>
    <xf numFmtId="166" fontId="10" fillId="0" borderId="21" xfId="0" applyNumberFormat="1" applyFont="1" applyFill="1" applyBorder="1" applyAlignment="1">
      <alignment horizontal="center" vertical="center" wrapText="1"/>
    </xf>
    <xf numFmtId="0" fontId="24" fillId="0" borderId="22" xfId="0" applyFont="1" applyFill="1" applyBorder="1" applyAlignment="1">
      <alignment horizontal="left" vertical="center" wrapText="1"/>
    </xf>
    <xf numFmtId="0" fontId="16" fillId="0" borderId="20" xfId="0" applyFont="1" applyFill="1" applyBorder="1" applyAlignment="1">
      <alignment horizontal="center" vertical="center" wrapText="1"/>
    </xf>
    <xf numFmtId="171" fontId="24" fillId="0" borderId="20" xfId="0" applyNumberFormat="1" applyFont="1" applyFill="1" applyBorder="1" applyAlignment="1">
      <alignment horizontal="center" vertical="center" wrapText="1"/>
    </xf>
    <xf numFmtId="167" fontId="10" fillId="0" borderId="20" xfId="0" applyNumberFormat="1" applyFont="1" applyFill="1" applyBorder="1" applyAlignment="1">
      <alignment horizontal="center" vertical="center"/>
    </xf>
    <xf numFmtId="167" fontId="10" fillId="0" borderId="41" xfId="0" applyNumberFormat="1" applyFont="1" applyFill="1" applyBorder="1" applyAlignment="1">
      <alignment horizontal="center" vertical="center"/>
    </xf>
    <xf numFmtId="167" fontId="24" fillId="0" borderId="128" xfId="0" applyNumberFormat="1" applyFont="1" applyFill="1" applyBorder="1" applyAlignment="1">
      <alignment horizontal="center" vertical="center" wrapText="1"/>
    </xf>
    <xf numFmtId="0" fontId="16" fillId="0" borderId="128" xfId="0" applyFont="1" applyFill="1" applyBorder="1" applyAlignment="1">
      <alignment horizontal="center" vertical="center" wrapText="1"/>
    </xf>
    <xf numFmtId="179" fontId="24" fillId="0" borderId="128" xfId="0" applyNumberFormat="1" applyFont="1" applyFill="1" applyBorder="1" applyAlignment="1">
      <alignment horizontal="center" vertical="center" wrapText="1"/>
    </xf>
    <xf numFmtId="0" fontId="11" fillId="0" borderId="128" xfId="0" applyFont="1" applyFill="1" applyBorder="1" applyAlignment="1">
      <alignment vertical="center" wrapText="1"/>
    </xf>
    <xf numFmtId="167" fontId="11" fillId="0" borderId="128" xfId="0" applyNumberFormat="1" applyFont="1" applyFill="1" applyBorder="1" applyAlignment="1">
      <alignment vertical="center" wrapText="1"/>
    </xf>
    <xf numFmtId="167" fontId="11" fillId="0" borderId="128" xfId="0" applyNumberFormat="1" applyFont="1" applyFill="1" applyBorder="1" applyAlignment="1">
      <alignment vertical="center"/>
    </xf>
    <xf numFmtId="0" fontId="11" fillId="0" borderId="23" xfId="0" applyFont="1" applyBorder="1" applyAlignment="1">
      <alignment horizontal="center" vertical="center"/>
    </xf>
    <xf numFmtId="172" fontId="10" fillId="0" borderId="14" xfId="0" applyNumberFormat="1" applyFont="1" applyBorder="1" applyAlignment="1">
      <alignment horizontal="center" vertical="center"/>
    </xf>
    <xf numFmtId="167" fontId="10" fillId="0" borderId="19" xfId="0" applyNumberFormat="1" applyFont="1" applyBorder="1" applyAlignment="1">
      <alignment horizontal="center" vertical="center"/>
    </xf>
    <xf numFmtId="0" fontId="11" fillId="0" borderId="21" xfId="0" applyFont="1" applyBorder="1" applyAlignment="1">
      <alignment horizontal="center" vertical="center" wrapText="1"/>
    </xf>
    <xf numFmtId="0" fontId="10" fillId="0" borderId="22" xfId="0" applyFont="1" applyBorder="1" applyAlignment="1">
      <alignment horizontal="justify" vertical="center" wrapText="1"/>
    </xf>
    <xf numFmtId="167" fontId="10" fillId="0" borderId="20" xfId="0" applyNumberFormat="1" applyFont="1" applyBorder="1" applyAlignment="1">
      <alignment horizontal="center" vertical="center"/>
    </xf>
    <xf numFmtId="167" fontId="10" fillId="0" borderId="41" xfId="0" applyNumberFormat="1" applyFont="1" applyBorder="1" applyAlignment="1">
      <alignment horizontal="center" vertical="center"/>
    </xf>
    <xf numFmtId="167" fontId="25" fillId="0" borderId="133" xfId="0" applyNumberFormat="1" applyFont="1" applyBorder="1" applyAlignment="1">
      <alignment horizontal="center" vertical="center" wrapText="1"/>
    </xf>
    <xf numFmtId="0" fontId="18" fillId="4" borderId="23" xfId="0" applyFont="1" applyFill="1" applyBorder="1" applyAlignment="1">
      <alignment vertical="center"/>
    </xf>
    <xf numFmtId="0" fontId="23" fillId="0" borderId="14" xfId="0" applyFont="1" applyBorder="1" applyAlignment="1">
      <alignment horizontal="justify" vertical="center" wrapText="1"/>
    </xf>
    <xf numFmtId="0" fontId="18" fillId="0" borderId="14" xfId="0" applyFont="1" applyBorder="1" applyAlignment="1">
      <alignment horizontal="center" vertical="center" wrapText="1"/>
    </xf>
    <xf numFmtId="171" fontId="18" fillId="0" borderId="14" xfId="0" applyNumberFormat="1" applyFont="1" applyBorder="1" applyAlignment="1">
      <alignment horizontal="center" vertical="center" wrapText="1"/>
    </xf>
    <xf numFmtId="167" fontId="18" fillId="0" borderId="14" xfId="0" applyNumberFormat="1" applyFont="1" applyBorder="1" applyAlignment="1">
      <alignment horizontal="center" vertical="center" wrapText="1"/>
    </xf>
    <xf numFmtId="167" fontId="18" fillId="0" borderId="19" xfId="0" applyNumberFormat="1" applyFont="1" applyBorder="1" applyAlignment="1">
      <alignment horizontal="center" vertical="center" wrapText="1"/>
    </xf>
    <xf numFmtId="0" fontId="10" fillId="0" borderId="21" xfId="0" applyFont="1" applyBorder="1" applyAlignment="1">
      <alignment horizontal="center" vertical="center"/>
    </xf>
    <xf numFmtId="0" fontId="24" fillId="0" borderId="22" xfId="0" applyFont="1" applyBorder="1" applyAlignment="1">
      <alignment horizontal="center" vertical="center" wrapText="1"/>
    </xf>
    <xf numFmtId="0" fontId="16" fillId="0" borderId="111" xfId="0" applyFont="1" applyBorder="1" applyAlignment="1">
      <alignment horizontal="center" vertical="center" wrapText="1"/>
    </xf>
    <xf numFmtId="0" fontId="32" fillId="0" borderId="23" xfId="5" applyFont="1" applyBorder="1" applyAlignment="1">
      <alignment horizontal="center" vertical="center" wrapText="1"/>
    </xf>
    <xf numFmtId="0" fontId="32" fillId="0" borderId="14" xfId="5" applyFont="1" applyBorder="1" applyAlignment="1">
      <alignment horizontal="left" vertical="center" wrapText="1"/>
    </xf>
    <xf numFmtId="167" fontId="11" fillId="0" borderId="14" xfId="0" applyNumberFormat="1" applyFont="1" applyBorder="1" applyAlignment="1">
      <alignment vertical="center" wrapText="1"/>
    </xf>
    <xf numFmtId="167" fontId="11" fillId="0" borderId="14" xfId="0" applyNumberFormat="1" applyFont="1" applyBorder="1" applyAlignment="1">
      <alignment vertical="center"/>
    </xf>
    <xf numFmtId="0" fontId="16" fillId="0" borderId="21" xfId="0" applyFont="1" applyBorder="1" applyAlignment="1">
      <alignment horizontal="center" vertical="center"/>
    </xf>
    <xf numFmtId="0" fontId="22" fillId="0" borderId="20" xfId="0" applyFont="1" applyBorder="1" applyAlignment="1">
      <alignment horizontal="justify" vertical="center" wrapText="1"/>
    </xf>
    <xf numFmtId="172" fontId="24" fillId="0" borderId="128" xfId="0" applyNumberFormat="1" applyFont="1" applyBorder="1" applyAlignment="1">
      <alignment horizontal="center" vertical="center" wrapText="1"/>
    </xf>
    <xf numFmtId="2" fontId="24" fillId="0" borderId="14" xfId="0" applyNumberFormat="1" applyFont="1" applyBorder="1" applyAlignment="1">
      <alignment horizontal="center" vertical="center"/>
    </xf>
    <xf numFmtId="2" fontId="24" fillId="0" borderId="22" xfId="0" applyNumberFormat="1" applyFont="1" applyBorder="1" applyAlignment="1">
      <alignment horizontal="center" vertical="center"/>
    </xf>
    <xf numFmtId="0" fontId="24" fillId="0" borderId="41" xfId="0" applyFont="1" applyBorder="1" applyAlignment="1">
      <alignment horizontal="center" vertical="center" wrapText="1"/>
    </xf>
    <xf numFmtId="167" fontId="10" fillId="0" borderId="108" xfId="0" applyNumberFormat="1" applyFont="1" applyBorder="1" applyAlignment="1">
      <alignment horizontal="center" vertical="center" wrapText="1"/>
    </xf>
    <xf numFmtId="0" fontId="11" fillId="0" borderId="132" xfId="0" applyFont="1" applyBorder="1" applyAlignment="1">
      <alignment horizontal="center" vertical="center"/>
    </xf>
    <xf numFmtId="167" fontId="23" fillId="0" borderId="108" xfId="0" applyNumberFormat="1" applyFont="1" applyBorder="1" applyAlignment="1">
      <alignment horizontal="center" vertical="center" wrapText="1"/>
    </xf>
    <xf numFmtId="0" fontId="23" fillId="0" borderId="107" xfId="0" applyFont="1" applyBorder="1" applyAlignment="1">
      <alignment horizontal="justify" vertical="center" wrapText="1"/>
    </xf>
    <xf numFmtId="0" fontId="10" fillId="30" borderId="24" xfId="5" applyFont="1" applyFill="1" applyBorder="1" applyAlignment="1">
      <alignment horizontal="center" vertical="center" wrapText="1"/>
    </xf>
    <xf numFmtId="0" fontId="89" fillId="0" borderId="0" xfId="0" applyFont="1" applyBorder="1" applyAlignment="1">
      <alignment wrapText="1"/>
    </xf>
    <xf numFmtId="0" fontId="10" fillId="30" borderId="23" xfId="5" applyFont="1" applyFill="1" applyBorder="1" applyAlignment="1">
      <alignment horizontal="center" vertical="center" wrapText="1"/>
    </xf>
    <xf numFmtId="0" fontId="10" fillId="0" borderId="118" xfId="0" applyFont="1" applyBorder="1" applyAlignment="1">
      <alignment horizontal="left" vertical="center" wrapText="1"/>
    </xf>
    <xf numFmtId="0" fontId="10" fillId="0" borderId="14" xfId="0" applyFont="1" applyBorder="1" applyAlignment="1">
      <alignment horizontal="center" vertical="center" wrapText="1"/>
    </xf>
    <xf numFmtId="176" fontId="10" fillId="0" borderId="14" xfId="0" applyNumberFormat="1" applyFont="1" applyBorder="1" applyAlignment="1">
      <alignment horizontal="center" vertical="center"/>
    </xf>
    <xf numFmtId="167" fontId="10" fillId="0" borderId="59" xfId="0" applyNumberFormat="1" applyFont="1" applyBorder="1" applyAlignment="1">
      <alignment horizontal="center" vertical="center" wrapText="1"/>
    </xf>
    <xf numFmtId="0" fontId="10" fillId="30" borderId="21" xfId="5" applyFont="1" applyFill="1" applyBorder="1" applyAlignment="1">
      <alignment horizontal="center" vertical="center" wrapText="1"/>
    </xf>
    <xf numFmtId="0" fontId="10" fillId="0" borderId="22" xfId="0" applyFont="1" applyBorder="1" applyAlignment="1">
      <alignment horizontal="center" vertical="center" wrapText="1"/>
    </xf>
    <xf numFmtId="176" fontId="10" fillId="0" borderId="22"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32" fillId="30" borderId="23" xfId="5" applyFont="1" applyFill="1" applyBorder="1" applyAlignment="1">
      <alignment horizontal="center" vertical="center" wrapText="1"/>
    </xf>
    <xf numFmtId="176" fontId="24" fillId="0" borderId="14" xfId="0" applyNumberFormat="1" applyFont="1" applyBorder="1" applyAlignment="1">
      <alignment horizontal="center" vertical="center"/>
    </xf>
    <xf numFmtId="0" fontId="10" fillId="0" borderId="36" xfId="0" applyFont="1" applyBorder="1" applyAlignment="1">
      <alignment horizontal="center" vertical="center" wrapText="1"/>
    </xf>
    <xf numFmtId="0" fontId="10" fillId="0" borderId="43" xfId="0" applyFont="1" applyBorder="1" applyAlignment="1">
      <alignment wrapText="1"/>
    </xf>
    <xf numFmtId="2" fontId="10" fillId="0" borderId="43" xfId="0" applyNumberFormat="1" applyFont="1" applyBorder="1" applyAlignment="1">
      <alignment horizontal="center" vertical="center"/>
    </xf>
    <xf numFmtId="4" fontId="23" fillId="6" borderId="43" xfId="0" applyNumberFormat="1" applyFont="1" applyFill="1" applyBorder="1" applyAlignment="1">
      <alignment horizontal="right" vertical="center"/>
    </xf>
    <xf numFmtId="167" fontId="23" fillId="0" borderId="39" xfId="0" applyNumberFormat="1" applyFont="1" applyBorder="1" applyAlignment="1">
      <alignment horizontal="center" vertical="center" wrapText="1"/>
    </xf>
    <xf numFmtId="167" fontId="23" fillId="2" borderId="37" xfId="0" applyNumberFormat="1" applyFont="1" applyFill="1" applyBorder="1" applyAlignment="1">
      <alignment horizontal="center" vertical="center"/>
    </xf>
    <xf numFmtId="2" fontId="18" fillId="5" borderId="56" xfId="3" applyNumberFormat="1" applyFont="1" applyFill="1" applyBorder="1" applyAlignment="1">
      <alignment vertical="center"/>
    </xf>
    <xf numFmtId="0" fontId="11" fillId="0" borderId="132" xfId="0" applyFont="1" applyFill="1" applyBorder="1" applyAlignment="1">
      <alignment horizontal="center" vertical="center"/>
    </xf>
    <xf numFmtId="173" fontId="16" fillId="0" borderId="128" xfId="1" applyNumberFormat="1" applyFont="1" applyBorder="1" applyAlignment="1">
      <alignment horizontal="center" vertical="center"/>
    </xf>
    <xf numFmtId="0" fontId="18" fillId="33" borderId="31" xfId="0" applyFont="1" applyFill="1" applyBorder="1" applyAlignment="1">
      <alignment horizontal="center" vertical="center"/>
    </xf>
    <xf numFmtId="0" fontId="34" fillId="33" borderId="8" xfId="0" applyFont="1" applyFill="1" applyBorder="1" applyAlignment="1">
      <alignment horizontal="left" vertical="center" wrapText="1"/>
    </xf>
    <xf numFmtId="0" fontId="30" fillId="33" borderId="8" xfId="0" applyNumberFormat="1" applyFont="1" applyFill="1" applyBorder="1" applyAlignment="1">
      <alignment horizontal="center" vertical="center" wrapText="1"/>
    </xf>
    <xf numFmtId="167" fontId="11" fillId="33" borderId="82" xfId="0" applyNumberFormat="1" applyFont="1" applyFill="1" applyBorder="1" applyAlignment="1">
      <alignment horizontal="right" vertical="center" wrapText="1"/>
    </xf>
    <xf numFmtId="4" fontId="11" fillId="33" borderId="62" xfId="0" applyNumberFormat="1" applyFont="1" applyFill="1" applyBorder="1" applyAlignment="1">
      <alignment horizontal="right" vertical="center"/>
    </xf>
    <xf numFmtId="4" fontId="11" fillId="33" borderId="64" xfId="0" applyNumberFormat="1" applyFont="1" applyFill="1" applyBorder="1" applyAlignment="1">
      <alignment horizontal="right" vertical="center"/>
    </xf>
    <xf numFmtId="0" fontId="18" fillId="33" borderId="45" xfId="0" applyFont="1" applyFill="1" applyBorder="1" applyAlignment="1">
      <alignment horizontal="center" vertical="center"/>
    </xf>
    <xf numFmtId="0" fontId="7" fillId="33" borderId="20" xfId="0" quotePrefix="1" applyFont="1" applyFill="1" applyBorder="1" applyAlignment="1">
      <alignment horizontal="center" vertical="center"/>
    </xf>
    <xf numFmtId="0" fontId="7" fillId="33" borderId="20" xfId="0" applyFont="1" applyFill="1" applyBorder="1" applyAlignment="1">
      <alignment horizontal="left" vertical="center" wrapText="1"/>
    </xf>
    <xf numFmtId="0" fontId="30" fillId="33" borderId="20" xfId="0" applyNumberFormat="1" applyFont="1" applyFill="1" applyBorder="1" applyAlignment="1">
      <alignment horizontal="center" vertical="center" wrapText="1"/>
    </xf>
    <xf numFmtId="2" fontId="7" fillId="33" borderId="20" xfId="0" applyNumberFormat="1" applyFont="1" applyFill="1" applyBorder="1" applyAlignment="1">
      <alignment horizontal="right" vertical="center" wrapText="1"/>
    </xf>
    <xf numFmtId="167" fontId="11" fillId="33" borderId="27" xfId="0" applyNumberFormat="1" applyFont="1" applyFill="1" applyBorder="1" applyAlignment="1">
      <alignment horizontal="right" vertical="center" wrapText="1"/>
    </xf>
    <xf numFmtId="4" fontId="7" fillId="33" borderId="20" xfId="0" applyNumberFormat="1" applyFont="1" applyFill="1" applyBorder="1" applyAlignment="1">
      <alignment horizontal="right" vertical="center" wrapText="1"/>
    </xf>
    <xf numFmtId="4" fontId="11" fillId="33" borderId="85" xfId="0" applyNumberFormat="1" applyFont="1" applyFill="1" applyBorder="1" applyAlignment="1">
      <alignment horizontal="right" vertical="center"/>
    </xf>
    <xf numFmtId="4" fontId="11" fillId="33" borderId="49" xfId="0" applyNumberFormat="1" applyFont="1" applyFill="1" applyBorder="1" applyAlignment="1">
      <alignment horizontal="right" vertical="center"/>
    </xf>
    <xf numFmtId="173" fontId="16" fillId="0" borderId="14" xfId="1" applyNumberFormat="1" applyFont="1" applyBorder="1" applyAlignment="1">
      <alignment horizontal="center" vertical="center"/>
    </xf>
    <xf numFmtId="167" fontId="11" fillId="0" borderId="14" xfId="0" applyNumberFormat="1" applyFont="1" applyFill="1" applyBorder="1" applyAlignment="1">
      <alignment horizontal="right" vertical="center" wrapText="1"/>
    </xf>
    <xf numFmtId="0" fontId="11" fillId="0" borderId="37" xfId="0" quotePrefix="1" applyFont="1" applyFill="1" applyBorder="1" applyAlignment="1">
      <alignment horizontal="center" vertical="center" wrapText="1"/>
    </xf>
    <xf numFmtId="0" fontId="11" fillId="0" borderId="37" xfId="0" applyFont="1" applyBorder="1" applyAlignment="1">
      <alignment horizontal="left" vertical="center" wrapText="1"/>
    </xf>
    <xf numFmtId="0" fontId="28" fillId="0" borderId="37" xfId="0" applyFont="1" applyBorder="1" applyAlignment="1">
      <alignment horizontal="center" vertical="center"/>
    </xf>
    <xf numFmtId="2" fontId="11" fillId="0" borderId="37" xfId="0" applyNumberFormat="1" applyFont="1" applyFill="1" applyBorder="1" applyAlignment="1">
      <alignment horizontal="right" vertical="center"/>
    </xf>
    <xf numFmtId="167" fontId="11" fillId="0" borderId="37" xfId="0" applyNumberFormat="1" applyFont="1" applyFill="1" applyBorder="1" applyAlignment="1">
      <alignment horizontal="right" vertical="center" wrapText="1"/>
    </xf>
    <xf numFmtId="4" fontId="11" fillId="3" borderId="37" xfId="0" applyNumberFormat="1" applyFont="1" applyFill="1" applyBorder="1" applyAlignment="1">
      <alignment horizontal="right" vertical="center"/>
    </xf>
    <xf numFmtId="4" fontId="11" fillId="0" borderId="37" xfId="0" applyNumberFormat="1" applyFont="1" applyBorder="1" applyAlignment="1">
      <alignment horizontal="right" vertical="center"/>
    </xf>
    <xf numFmtId="4" fontId="11" fillId="0" borderId="39" xfId="0" applyNumberFormat="1" applyFont="1" applyBorder="1" applyAlignment="1">
      <alignment horizontal="right" vertical="center"/>
    </xf>
    <xf numFmtId="0" fontId="7" fillId="33" borderId="8" xfId="0" applyFont="1" applyFill="1" applyBorder="1" applyAlignment="1">
      <alignment horizontal="left" vertical="center" wrapText="1"/>
    </xf>
    <xf numFmtId="2" fontId="11" fillId="3" borderId="6" xfId="0" applyNumberFormat="1" applyFont="1" applyFill="1" applyBorder="1" applyAlignment="1">
      <alignment horizontal="right" vertical="center"/>
    </xf>
    <xf numFmtId="2" fontId="11" fillId="3" borderId="14" xfId="0" applyNumberFormat="1" applyFont="1" applyFill="1" applyBorder="1" applyAlignment="1">
      <alignment horizontal="right" vertical="center"/>
    </xf>
    <xf numFmtId="0" fontId="18" fillId="33" borderId="36" xfId="0" quotePrefix="1" applyFont="1" applyFill="1" applyBorder="1" applyAlignment="1">
      <alignment horizontal="center" vertical="center"/>
    </xf>
    <xf numFmtId="0" fontId="7" fillId="33" borderId="37" xfId="0" quotePrefix="1" applyFont="1" applyFill="1" applyBorder="1" applyAlignment="1">
      <alignment horizontal="center" vertical="center"/>
    </xf>
    <xf numFmtId="0" fontId="18" fillId="33" borderId="37" xfId="0" applyFont="1" applyFill="1" applyBorder="1" applyAlignment="1">
      <alignment horizontal="left" vertical="center" wrapText="1"/>
    </xf>
    <xf numFmtId="0" fontId="18" fillId="33" borderId="37" xfId="0" applyFont="1" applyFill="1" applyBorder="1" applyAlignment="1">
      <alignment vertical="center" wrapText="1"/>
    </xf>
    <xf numFmtId="0" fontId="18" fillId="33" borderId="37" xfId="0" applyFont="1" applyFill="1" applyBorder="1" applyAlignment="1">
      <alignment horizontal="right" vertical="center" wrapText="1"/>
    </xf>
    <xf numFmtId="0" fontId="18" fillId="33" borderId="39" xfId="0" applyFont="1" applyFill="1" applyBorder="1" applyAlignment="1">
      <alignment vertical="center" wrapText="1"/>
    </xf>
    <xf numFmtId="0" fontId="11" fillId="0" borderId="52" xfId="0" quotePrefix="1" applyFont="1" applyFill="1" applyBorder="1" applyAlignment="1">
      <alignment horizontal="center" vertical="center"/>
    </xf>
    <xf numFmtId="0" fontId="16" fillId="0" borderId="22" xfId="1" applyNumberFormat="1" applyFont="1" applyFill="1" applyBorder="1" applyAlignment="1">
      <alignment horizontal="center" vertical="center"/>
    </xf>
    <xf numFmtId="173" fontId="11" fillId="0" borderId="22" xfId="1" applyNumberFormat="1" applyFont="1" applyFill="1" applyBorder="1" applyAlignment="1">
      <alignment horizontal="left" vertical="center" wrapText="1"/>
    </xf>
    <xf numFmtId="0" fontId="16" fillId="0" borderId="6" xfId="1" applyNumberFormat="1" applyFont="1" applyFill="1" applyBorder="1" applyAlignment="1">
      <alignment horizontal="center" vertical="center"/>
    </xf>
    <xf numFmtId="0" fontId="11" fillId="0" borderId="6" xfId="1" applyNumberFormat="1" applyFont="1" applyFill="1" applyBorder="1" applyAlignment="1">
      <alignment horizontal="left" vertical="center" wrapText="1"/>
    </xf>
    <xf numFmtId="2" fontId="11" fillId="0" borderId="6" xfId="0" applyNumberFormat="1" applyFont="1" applyFill="1" applyBorder="1" applyAlignment="1">
      <alignment horizontal="right" vertical="center" wrapText="1"/>
    </xf>
    <xf numFmtId="173" fontId="11" fillId="0" borderId="6" xfId="1" applyNumberFormat="1" applyFont="1" applyFill="1" applyBorder="1" applyAlignment="1">
      <alignment horizontal="left" vertical="center" wrapText="1"/>
    </xf>
    <xf numFmtId="173" fontId="15" fillId="0" borderId="6" xfId="1" applyNumberFormat="1" applyFont="1" applyBorder="1" applyAlignment="1">
      <alignment horizontal="center" vertical="center"/>
    </xf>
    <xf numFmtId="0" fontId="11" fillId="0" borderId="6" xfId="1" applyNumberFormat="1" applyFont="1" applyFill="1" applyBorder="1" applyAlignment="1">
      <alignment horizontal="center" vertical="center"/>
    </xf>
    <xf numFmtId="0" fontId="11" fillId="0" borderId="6"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center" vertical="center"/>
      <protection locked="0"/>
    </xf>
    <xf numFmtId="43" fontId="11" fillId="0" borderId="6" xfId="1" applyFont="1" applyFill="1" applyBorder="1" applyAlignment="1">
      <alignment horizontal="center" vertical="center"/>
    </xf>
    <xf numFmtId="0" fontId="7" fillId="36" borderId="6" xfId="0" quotePrefix="1" applyFont="1" applyFill="1" applyBorder="1" applyAlignment="1">
      <alignment horizontal="center" vertical="center"/>
    </xf>
    <xf numFmtId="0" fontId="22" fillId="36" borderId="6" xfId="0" applyFont="1" applyFill="1" applyBorder="1" applyAlignment="1">
      <alignment horizontal="justify" vertical="center"/>
    </xf>
    <xf numFmtId="0" fontId="11" fillId="36" borderId="6" xfId="0" quotePrefix="1" applyFont="1" applyFill="1" applyBorder="1" applyAlignment="1">
      <alignment horizontal="center" vertical="center"/>
    </xf>
    <xf numFmtId="2" fontId="7" fillId="36" borderId="6" xfId="0" applyNumberFormat="1" applyFont="1" applyFill="1" applyBorder="1" applyAlignment="1">
      <alignment horizontal="center" vertical="center" wrapText="1"/>
    </xf>
    <xf numFmtId="4" fontId="7" fillId="36" borderId="6" xfId="0" applyNumberFormat="1" applyFont="1" applyFill="1" applyBorder="1" applyAlignment="1">
      <alignment horizontal="center" vertical="center" wrapText="1"/>
    </xf>
    <xf numFmtId="2" fontId="11" fillId="36" borderId="6" xfId="1" applyNumberFormat="1" applyFont="1" applyFill="1" applyBorder="1" applyAlignment="1">
      <alignment horizontal="center" vertical="center"/>
    </xf>
    <xf numFmtId="4" fontId="7" fillId="36" borderId="16" xfId="0" applyNumberFormat="1" applyFont="1" applyFill="1" applyBorder="1" applyAlignment="1">
      <alignment horizontal="center" vertical="center" wrapText="1"/>
    </xf>
    <xf numFmtId="167" fontId="11" fillId="0" borderId="20" xfId="0" applyNumberFormat="1" applyFont="1" applyFill="1" applyBorder="1" applyAlignment="1">
      <alignment horizontal="right" vertical="center"/>
    </xf>
    <xf numFmtId="2" fontId="16" fillId="3" borderId="20" xfId="0" applyNumberFormat="1" applyFont="1" applyFill="1" applyBorder="1" applyAlignment="1">
      <alignment horizontal="right" vertical="center"/>
    </xf>
    <xf numFmtId="2" fontId="16" fillId="3" borderId="6" xfId="0" applyNumberFormat="1" applyFont="1" applyFill="1" applyBorder="1" applyAlignment="1">
      <alignment horizontal="right" vertical="center"/>
    </xf>
    <xf numFmtId="0" fontId="16" fillId="0" borderId="6" xfId="0" applyFont="1" applyBorder="1" applyAlignment="1">
      <alignment horizontal="center" vertical="center"/>
    </xf>
    <xf numFmtId="0" fontId="31" fillId="0" borderId="14" xfId="0" applyNumberFormat="1" applyFont="1" applyBorder="1" applyAlignment="1">
      <alignment horizontal="center" vertical="center"/>
    </xf>
    <xf numFmtId="0" fontId="11" fillId="0" borderId="128" xfId="0" applyFont="1" applyBorder="1" applyAlignment="1">
      <alignment horizontal="center" vertical="center"/>
    </xf>
    <xf numFmtId="0" fontId="11" fillId="0" borderId="128" xfId="0" applyNumberFormat="1" applyFont="1" applyBorder="1" applyAlignment="1">
      <alignment horizontal="center" vertical="center"/>
    </xf>
    <xf numFmtId="0" fontId="18" fillId="32" borderId="52" xfId="0" applyFont="1" applyFill="1" applyBorder="1" applyAlignment="1">
      <alignment horizontal="center" vertical="center"/>
    </xf>
    <xf numFmtId="0" fontId="11" fillId="32" borderId="36" xfId="0" applyFont="1" applyFill="1" applyBorder="1" applyAlignment="1">
      <alignment horizontal="center" vertical="center"/>
    </xf>
    <xf numFmtId="0" fontId="11" fillId="32" borderId="37" xfId="0" quotePrefix="1" applyFont="1" applyFill="1" applyBorder="1" applyAlignment="1">
      <alignment horizontal="center" vertical="center"/>
    </xf>
    <xf numFmtId="0" fontId="18" fillId="32" borderId="37" xfId="0" quotePrefix="1" applyFont="1" applyFill="1" applyBorder="1" applyAlignment="1">
      <alignment horizontal="left" vertical="center"/>
    </xf>
    <xf numFmtId="2" fontId="11" fillId="32" borderId="37" xfId="0" applyNumberFormat="1" applyFont="1" applyFill="1" applyBorder="1" applyAlignment="1">
      <alignment horizontal="right" vertical="center"/>
    </xf>
    <xf numFmtId="4" fontId="11" fillId="32" borderId="37" xfId="0" applyNumberFormat="1" applyFont="1" applyFill="1" applyBorder="1" applyAlignment="1">
      <alignment horizontal="right" vertical="center" wrapText="1"/>
    </xf>
    <xf numFmtId="4" fontId="11" fillId="32" borderId="37" xfId="0" applyNumberFormat="1" applyFont="1" applyFill="1" applyBorder="1" applyAlignment="1">
      <alignment horizontal="right" vertical="center"/>
    </xf>
    <xf numFmtId="4" fontId="11" fillId="32" borderId="39" xfId="0" applyNumberFormat="1" applyFont="1" applyFill="1" applyBorder="1" applyAlignment="1">
      <alignment horizontal="right" vertical="center"/>
    </xf>
    <xf numFmtId="0" fontId="11" fillId="0" borderId="110" xfId="0" applyFont="1" applyBorder="1" applyAlignment="1">
      <alignment horizontal="left" vertical="center"/>
    </xf>
    <xf numFmtId="0" fontId="11" fillId="6" borderId="21" xfId="0" quotePrefix="1" applyFont="1" applyFill="1" applyBorder="1" applyAlignment="1">
      <alignment horizontal="center" vertical="center"/>
    </xf>
    <xf numFmtId="0" fontId="11" fillId="6" borderId="22" xfId="0" quotePrefix="1" applyFont="1" applyFill="1" applyBorder="1" applyAlignment="1">
      <alignment horizontal="center" vertical="center"/>
    </xf>
    <xf numFmtId="0" fontId="11" fillId="6" borderId="22" xfId="0" applyFont="1" applyFill="1" applyBorder="1" applyAlignment="1">
      <alignment horizontal="left" vertical="center" wrapText="1"/>
    </xf>
    <xf numFmtId="2" fontId="11" fillId="6" borderId="22" xfId="0" applyNumberFormat="1" applyFont="1" applyFill="1" applyBorder="1" applyAlignment="1">
      <alignment horizontal="right" vertical="center"/>
    </xf>
    <xf numFmtId="4" fontId="11" fillId="6" borderId="22" xfId="0" applyNumberFormat="1" applyFont="1" applyFill="1" applyBorder="1" applyAlignment="1">
      <alignment horizontal="right" vertical="center" wrapText="1"/>
    </xf>
    <xf numFmtId="4" fontId="11" fillId="6" borderId="22" xfId="0" applyNumberFormat="1" applyFont="1" applyFill="1" applyBorder="1" applyAlignment="1">
      <alignment horizontal="right" vertical="center"/>
    </xf>
    <xf numFmtId="4" fontId="11" fillId="6" borderId="41" xfId="0" applyNumberFormat="1" applyFont="1" applyFill="1" applyBorder="1" applyAlignment="1">
      <alignment horizontal="right" vertical="center"/>
    </xf>
    <xf numFmtId="0" fontId="11" fillId="6" borderId="25" xfId="0" quotePrefix="1" applyFont="1" applyFill="1" applyBorder="1" applyAlignment="1">
      <alignment horizontal="center" vertical="center"/>
    </xf>
    <xf numFmtId="0" fontId="11" fillId="6" borderId="6" xfId="0" quotePrefix="1" applyFont="1" applyFill="1" applyBorder="1" applyAlignment="1">
      <alignment horizontal="center" vertical="center"/>
    </xf>
    <xf numFmtId="2" fontId="11" fillId="6" borderId="128" xfId="0" applyNumberFormat="1" applyFont="1" applyFill="1" applyBorder="1" applyAlignment="1">
      <alignment horizontal="right" vertical="center"/>
    </xf>
    <xf numFmtId="4" fontId="11" fillId="6" borderId="6" xfId="0" applyNumberFormat="1" applyFont="1" applyFill="1" applyBorder="1" applyAlignment="1">
      <alignment horizontal="right" vertical="center" wrapText="1"/>
    </xf>
    <xf numFmtId="4" fontId="11" fillId="6" borderId="128" xfId="0" applyNumberFormat="1" applyFont="1" applyFill="1" applyBorder="1" applyAlignment="1">
      <alignment horizontal="right" vertical="center" wrapText="1"/>
    </xf>
    <xf numFmtId="4" fontId="11" fillId="6" borderId="6" xfId="0" applyNumberFormat="1" applyFont="1" applyFill="1" applyBorder="1" applyAlignment="1">
      <alignment horizontal="right" vertical="center"/>
    </xf>
    <xf numFmtId="4" fontId="11" fillId="6" borderId="16" xfId="0" applyNumberFormat="1" applyFont="1" applyFill="1" applyBorder="1" applyAlignment="1">
      <alignment horizontal="right" vertical="center"/>
    </xf>
    <xf numFmtId="0" fontId="11" fillId="6" borderId="24" xfId="0" applyFont="1" applyFill="1" applyBorder="1" applyAlignment="1">
      <alignment horizontal="center" vertical="center"/>
    </xf>
    <xf numFmtId="0" fontId="11" fillId="6" borderId="110" xfId="0" quotePrefix="1" applyFont="1" applyFill="1" applyBorder="1" applyAlignment="1">
      <alignment horizontal="center" vertical="center"/>
    </xf>
    <xf numFmtId="0" fontId="11" fillId="6" borderId="110" xfId="0" applyFont="1" applyFill="1" applyBorder="1" applyAlignment="1">
      <alignment horizontal="left" vertical="center" wrapText="1"/>
    </xf>
    <xf numFmtId="167" fontId="11" fillId="6" borderId="112" xfId="0" applyNumberFormat="1" applyFont="1" applyFill="1" applyBorder="1" applyAlignment="1">
      <alignment horizontal="right" vertical="center" wrapText="1"/>
    </xf>
    <xf numFmtId="4" fontId="11" fillId="6" borderId="128" xfId="0" applyNumberFormat="1" applyFont="1" applyFill="1" applyBorder="1" applyAlignment="1">
      <alignment horizontal="right" vertical="center"/>
    </xf>
    <xf numFmtId="4" fontId="11" fillId="6" borderId="131" xfId="0" applyNumberFormat="1" applyFont="1" applyFill="1" applyBorder="1" applyAlignment="1">
      <alignment horizontal="right" vertical="center"/>
    </xf>
    <xf numFmtId="4" fontId="11" fillId="6" borderId="133" xfId="0" applyNumberFormat="1" applyFont="1" applyFill="1" applyBorder="1" applyAlignment="1">
      <alignment horizontal="right" vertical="center"/>
    </xf>
    <xf numFmtId="0" fontId="16" fillId="6" borderId="6" xfId="1" applyNumberFormat="1" applyFont="1" applyFill="1" applyBorder="1" applyAlignment="1">
      <alignment horizontal="center" vertical="center"/>
    </xf>
    <xf numFmtId="173" fontId="15" fillId="6" borderId="6" xfId="1" applyNumberFormat="1" applyFont="1" applyFill="1" applyBorder="1" applyAlignment="1">
      <alignment horizontal="center" vertical="center"/>
    </xf>
    <xf numFmtId="49" fontId="7" fillId="0" borderId="6" xfId="0" applyNumberFormat="1" applyFont="1" applyBorder="1" applyAlignment="1">
      <alignment horizontal="center" vertical="center"/>
    </xf>
    <xf numFmtId="0" fontId="19" fillId="0" borderId="37" xfId="0" applyFont="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9" fillId="0" borderId="39" xfId="0" applyFont="1" applyBorder="1" applyAlignment="1">
      <alignment vertical="center"/>
    </xf>
    <xf numFmtId="49" fontId="7" fillId="0" borderId="45"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0" fontId="9" fillId="0" borderId="18" xfId="0" applyFont="1" applyBorder="1" applyAlignment="1">
      <alignment horizontal="center" vertical="center" wrapText="1"/>
    </xf>
    <xf numFmtId="0" fontId="7" fillId="0" borderId="22" xfId="0" applyFont="1" applyFill="1" applyBorder="1" applyAlignment="1">
      <alignment horizontal="center" vertical="center"/>
    </xf>
    <xf numFmtId="0" fontId="7" fillId="0" borderId="6" xfId="0" applyFont="1" applyFill="1" applyBorder="1" applyAlignment="1">
      <alignment horizontal="center" vertical="center"/>
    </xf>
    <xf numFmtId="0" fontId="9"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9" fillId="0" borderId="28" xfId="0" applyFont="1" applyBorder="1" applyAlignment="1">
      <alignment vertical="center"/>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6" xfId="0" applyFont="1" applyBorder="1" applyAlignment="1">
      <alignment horizontal="center"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27" fillId="0" borderId="0" xfId="0" applyFont="1" applyBorder="1" applyAlignment="1">
      <alignment horizontal="center" vertical="center"/>
    </xf>
    <xf numFmtId="0" fontId="27" fillId="0" borderId="5" xfId="0" applyFont="1" applyBorder="1" applyAlignment="1">
      <alignment horizontal="center" vertical="center"/>
    </xf>
    <xf numFmtId="0" fontId="18"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9" fillId="0" borderId="36" xfId="0" applyFont="1" applyBorder="1" applyAlignment="1">
      <alignment horizontal="center" vertical="center" wrapText="1"/>
    </xf>
    <xf numFmtId="0" fontId="19" fillId="0" borderId="38" xfId="0" applyFont="1" applyBorder="1" applyAlignment="1">
      <alignment horizontal="center" vertical="center" wrapText="1"/>
    </xf>
    <xf numFmtId="4" fontId="11" fillId="0" borderId="58" xfId="0" applyNumberFormat="1" applyFont="1" applyBorder="1" applyAlignment="1">
      <alignment horizontal="center" vertical="center" wrapText="1"/>
    </xf>
    <xf numFmtId="4" fontId="11" fillId="0" borderId="59" xfId="0" applyNumberFormat="1" applyFont="1" applyBorder="1" applyAlignment="1">
      <alignment horizontal="center" vertical="center" wrapText="1"/>
    </xf>
    <xf numFmtId="0" fontId="7" fillId="4" borderId="25" xfId="0" applyFont="1" applyFill="1" applyBorder="1" applyAlignment="1">
      <alignment horizontal="left" vertical="center" wrapText="1"/>
    </xf>
    <xf numFmtId="0" fontId="0" fillId="0" borderId="10" xfId="0" applyBorder="1" applyAlignment="1">
      <alignment horizontal="left" vertical="center" wrapText="1"/>
    </xf>
    <xf numFmtId="4" fontId="7" fillId="0" borderId="7" xfId="1" applyNumberFormat="1" applyFont="1" applyBorder="1" applyAlignment="1">
      <alignment horizontal="left" vertical="center" wrapText="1"/>
    </xf>
    <xf numFmtId="0" fontId="0" fillId="0" borderId="33" xfId="0" applyBorder="1" applyAlignment="1">
      <alignment horizontal="left" vertical="center" wrapText="1"/>
    </xf>
    <xf numFmtId="0" fontId="18" fillId="4" borderId="132" xfId="0" applyFont="1" applyFill="1" applyBorder="1" applyAlignment="1">
      <alignment horizontal="center" vertical="center" wrapText="1"/>
    </xf>
    <xf numFmtId="0" fontId="18" fillId="4" borderId="128" xfId="0" applyFont="1" applyFill="1" applyBorder="1" applyAlignment="1">
      <alignment horizontal="center" vertical="center" wrapText="1"/>
    </xf>
    <xf numFmtId="0" fontId="11" fillId="0" borderId="124" xfId="0" applyFont="1" applyBorder="1" applyAlignment="1">
      <alignment horizontal="center" vertical="center" wrapText="1"/>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9" fillId="0" borderId="34"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118" xfId="0" applyFont="1" applyBorder="1" applyAlignment="1">
      <alignment vertical="center" wrapText="1"/>
    </xf>
    <xf numFmtId="0" fontId="0" fillId="0" borderId="118" xfId="0" applyFont="1" applyBorder="1" applyAlignment="1">
      <alignment vertical="center" wrapText="1"/>
    </xf>
    <xf numFmtId="0" fontId="7" fillId="0" borderId="55"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horizontal="center" vertical="center" wrapText="1"/>
    </xf>
    <xf numFmtId="0" fontId="18" fillId="0" borderId="5" xfId="0" applyFont="1" applyBorder="1" applyAlignment="1">
      <alignment horizontal="left" vertical="center" wrapText="1"/>
    </xf>
    <xf numFmtId="0" fontId="0" fillId="0" borderId="4" xfId="0" applyFont="1" applyBorder="1" applyAlignment="1">
      <alignment vertical="center" wrapText="1"/>
    </xf>
    <xf numFmtId="0" fontId="0" fillId="0" borderId="10" xfId="0" applyFont="1" applyBorder="1" applyAlignment="1">
      <alignment vertical="center" wrapText="1"/>
    </xf>
    <xf numFmtId="0" fontId="24" fillId="0" borderId="6"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57" xfId="0" applyFont="1" applyBorder="1" applyAlignment="1">
      <alignment horizontal="center" vertical="center" wrapText="1"/>
    </xf>
    <xf numFmtId="0" fontId="10" fillId="0" borderId="39" xfId="0" applyFont="1" applyBorder="1" applyAlignment="1">
      <alignment horizontal="center" vertical="center" wrapText="1"/>
    </xf>
    <xf numFmtId="0" fontId="11" fillId="0" borderId="14"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9" xfId="0" applyFont="1" applyBorder="1" applyAlignment="1">
      <alignment horizontal="center" vertical="center" wrapText="1"/>
    </xf>
    <xf numFmtId="0" fontId="11" fillId="0" borderId="0" xfId="0" applyFont="1" applyBorder="1" applyAlignment="1">
      <alignment horizontal="center" vertical="center" wrapText="1"/>
    </xf>
    <xf numFmtId="2" fontId="10" fillId="0" borderId="6" xfId="0" applyNumberFormat="1" applyFont="1" applyFill="1" applyBorder="1" applyAlignment="1">
      <alignment horizontal="left" vertical="center" wrapText="1"/>
    </xf>
    <xf numFmtId="0" fontId="7" fillId="0" borderId="22" xfId="0" applyFont="1" applyBorder="1" applyAlignment="1">
      <alignment horizontal="center" vertical="center"/>
    </xf>
    <xf numFmtId="0" fontId="9" fillId="0" borderId="22" xfId="0" applyFont="1" applyBorder="1" applyAlignment="1">
      <alignment vertical="center"/>
    </xf>
    <xf numFmtId="0" fontId="7" fillId="4" borderId="6" xfId="0" applyFont="1" applyFill="1" applyBorder="1" applyAlignment="1">
      <alignment horizontal="right" vertical="center" wrapText="1"/>
    </xf>
    <xf numFmtId="0" fontId="0" fillId="0" borderId="6" xfId="0" applyBorder="1" applyAlignment="1">
      <alignment horizontal="right" vertical="center" wrapText="1"/>
    </xf>
    <xf numFmtId="4" fontId="7" fillId="0" borderId="6" xfId="0" applyNumberFormat="1" applyFont="1" applyBorder="1" applyAlignment="1">
      <alignment horizontal="left" vertical="center" wrapText="1"/>
    </xf>
    <xf numFmtId="0" fontId="7" fillId="0" borderId="6" xfId="0" applyFont="1" applyBorder="1" applyAlignment="1">
      <alignment horizontal="left" vertical="center" wrapText="1"/>
    </xf>
    <xf numFmtId="0" fontId="16" fillId="0" borderId="12" xfId="0" applyFont="1" applyBorder="1" applyAlignment="1">
      <alignment horizontal="center" vertical="center"/>
    </xf>
    <xf numFmtId="0" fontId="16" fillId="0" borderId="0" xfId="0" applyFont="1" applyBorder="1" applyAlignment="1">
      <alignment horizontal="center" vertical="center"/>
    </xf>
    <xf numFmtId="0" fontId="11" fillId="0" borderId="34" xfId="0" applyFont="1" applyBorder="1" applyAlignment="1">
      <alignment horizontal="left" vertical="center" wrapText="1"/>
    </xf>
    <xf numFmtId="164" fontId="64" fillId="0" borderId="34" xfId="0" applyNumberFormat="1" applyFont="1" applyBorder="1" applyAlignment="1">
      <alignment horizontal="center" vertical="center" wrapText="1"/>
    </xf>
    <xf numFmtId="164" fontId="64" fillId="0" borderId="0" xfId="0" applyNumberFormat="1" applyFont="1" applyBorder="1" applyAlignment="1">
      <alignment horizontal="center" vertical="center" wrapText="1"/>
    </xf>
    <xf numFmtId="0" fontId="18" fillId="2" borderId="37" xfId="3" applyFont="1" applyFill="1" applyBorder="1" applyAlignment="1">
      <alignment horizontal="right" vertical="center" wrapText="1"/>
    </xf>
    <xf numFmtId="0" fontId="23" fillId="2" borderId="63"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62" xfId="3" applyFont="1" applyFill="1" applyBorder="1" applyAlignment="1">
      <alignment horizontal="center" vertical="center" wrapText="1"/>
    </xf>
    <xf numFmtId="0" fontId="25" fillId="0" borderId="6" xfId="0" applyFont="1" applyBorder="1" applyAlignment="1">
      <alignment horizontal="center" vertical="center"/>
    </xf>
    <xf numFmtId="0" fontId="10" fillId="0" borderId="7" xfId="0" applyFont="1" applyBorder="1" applyAlignment="1">
      <alignment horizontal="center" vertical="center"/>
    </xf>
    <xf numFmtId="0" fontId="10" fillId="0" borderId="10" xfId="0" applyFont="1" applyBorder="1" applyAlignment="1">
      <alignment horizontal="center" vertical="center"/>
    </xf>
    <xf numFmtId="0" fontId="24" fillId="0" borderId="37" xfId="0" applyFont="1" applyBorder="1" applyAlignment="1">
      <alignment horizontal="center" wrapText="1"/>
    </xf>
    <xf numFmtId="0" fontId="24" fillId="0" borderId="38" xfId="0" applyFont="1" applyBorder="1" applyAlignment="1">
      <alignment horizontal="center" wrapText="1"/>
    </xf>
    <xf numFmtId="0" fontId="24" fillId="0" borderId="40" xfId="0" applyFont="1" applyBorder="1" applyAlignment="1">
      <alignment horizontal="center"/>
    </xf>
    <xf numFmtId="0" fontId="24" fillId="0" borderId="42" xfId="0" applyFont="1" applyBorder="1" applyAlignment="1">
      <alignment horizontal="center"/>
    </xf>
    <xf numFmtId="170" fontId="11" fillId="0" borderId="24" xfId="3" applyNumberFormat="1" applyFont="1" applyFill="1" applyBorder="1" applyAlignment="1">
      <alignment horizontal="right" vertical="center" wrapText="1"/>
    </xf>
    <xf numFmtId="170" fontId="11" fillId="0" borderId="6" xfId="3" applyNumberFormat="1" applyFont="1" applyFill="1" applyBorder="1" applyAlignment="1">
      <alignment horizontal="right" vertical="center" wrapText="1"/>
    </xf>
    <xf numFmtId="170" fontId="11" fillId="0" borderId="16" xfId="3" applyNumberFormat="1" applyFont="1" applyFill="1" applyBorder="1" applyAlignment="1">
      <alignment horizontal="right" vertical="center" wrapText="1"/>
    </xf>
    <xf numFmtId="0" fontId="23" fillId="2" borderId="136" xfId="3" applyFont="1" applyFill="1" applyBorder="1" applyAlignment="1">
      <alignment horizontal="right" vertical="center" wrapText="1"/>
    </xf>
    <xf numFmtId="0" fontId="0" fillId="0" borderId="43" xfId="0" applyBorder="1" applyAlignment="1">
      <alignment horizontal="center" vertical="center" wrapText="1"/>
    </xf>
    <xf numFmtId="0" fontId="10" fillId="0" borderId="40" xfId="0" applyFont="1" applyBorder="1" applyAlignment="1">
      <alignment horizontal="center" vertical="center"/>
    </xf>
    <xf numFmtId="0" fontId="10" fillId="0" borderId="42" xfId="0" applyFont="1" applyBorder="1" applyAlignment="1">
      <alignment horizontal="center" vertical="center"/>
    </xf>
    <xf numFmtId="0" fontId="10" fillId="0" borderId="83" xfId="0" applyFont="1" applyBorder="1" applyAlignment="1">
      <alignment horizontal="center" vertical="center"/>
    </xf>
    <xf numFmtId="0" fontId="10" fillId="0" borderId="84" xfId="0" applyFont="1" applyBorder="1" applyAlignment="1">
      <alignment horizontal="center" vertical="center"/>
    </xf>
    <xf numFmtId="0" fontId="10" fillId="0" borderId="124" xfId="0" applyFont="1" applyBorder="1" applyAlignment="1">
      <alignment horizontal="center" vertical="center"/>
    </xf>
    <xf numFmtId="0" fontId="10" fillId="0" borderId="131" xfId="0" applyFont="1" applyBorder="1" applyAlignment="1">
      <alignment horizontal="center" vertical="center"/>
    </xf>
    <xf numFmtId="0" fontId="24" fillId="0" borderId="14" xfId="0" applyFont="1" applyBorder="1" applyAlignment="1">
      <alignment horizontal="center"/>
    </xf>
    <xf numFmtId="170" fontId="11" fillId="0" borderId="25" xfId="3" applyNumberFormat="1" applyFont="1" applyFill="1" applyBorder="1" applyAlignment="1">
      <alignment horizontal="right" vertical="center" wrapText="1"/>
    </xf>
    <xf numFmtId="170" fontId="11" fillId="0" borderId="11" xfId="3" applyNumberFormat="1" applyFont="1" applyFill="1" applyBorder="1" applyAlignment="1">
      <alignment horizontal="right" vertical="center" wrapText="1"/>
    </xf>
    <xf numFmtId="170" fontId="11" fillId="0" borderId="33" xfId="3" applyNumberFormat="1" applyFont="1" applyFill="1" applyBorder="1" applyAlignment="1">
      <alignment horizontal="right" vertical="center" wrapText="1"/>
    </xf>
    <xf numFmtId="0" fontId="23" fillId="2" borderId="27" xfId="3" applyFont="1" applyFill="1" applyBorder="1" applyAlignment="1">
      <alignment horizontal="center" vertical="center" wrapText="1"/>
    </xf>
    <xf numFmtId="0" fontId="23" fillId="2" borderId="34" xfId="3" applyFont="1" applyFill="1" applyBorder="1" applyAlignment="1">
      <alignment horizontal="center" vertical="center" wrapText="1"/>
    </xf>
    <xf numFmtId="0" fontId="23" fillId="2" borderId="85" xfId="3" applyFont="1" applyFill="1" applyBorder="1" applyAlignment="1">
      <alignment horizontal="center" vertical="center" wrapText="1"/>
    </xf>
    <xf numFmtId="0" fontId="18" fillId="2" borderId="136" xfId="3" applyFont="1" applyFill="1" applyBorder="1" applyAlignment="1">
      <alignment horizontal="right" vertical="center" wrapText="1"/>
    </xf>
    <xf numFmtId="0" fontId="10" fillId="0" borderId="55" xfId="0" applyFont="1" applyBorder="1" applyAlignment="1">
      <alignment horizontal="left" vertical="center" wrapText="1"/>
    </xf>
    <xf numFmtId="0" fontId="10" fillId="0" borderId="57" xfId="0" applyFont="1" applyBorder="1" applyAlignment="1">
      <alignment horizontal="left" vertical="center" wrapText="1"/>
    </xf>
    <xf numFmtId="0" fontId="18" fillId="2" borderId="40" xfId="3" applyFont="1" applyFill="1" applyBorder="1" applyAlignment="1">
      <alignment horizontal="right" vertical="center" wrapText="1"/>
    </xf>
    <xf numFmtId="0" fontId="18" fillId="2" borderId="58" xfId="3" applyFont="1" applyFill="1" applyBorder="1" applyAlignment="1">
      <alignment horizontal="right" vertical="center" wrapText="1"/>
    </xf>
    <xf numFmtId="0" fontId="18" fillId="2" borderId="118" xfId="3" applyFont="1" applyFill="1" applyBorder="1" applyAlignment="1">
      <alignment horizontal="right" vertical="center" wrapText="1"/>
    </xf>
    <xf numFmtId="170" fontId="11" fillId="0" borderId="113" xfId="3" applyNumberFormat="1" applyFont="1" applyFill="1" applyBorder="1" applyAlignment="1">
      <alignment horizontal="right" vertical="center" wrapText="1"/>
    </xf>
    <xf numFmtId="170" fontId="10" fillId="0" borderId="25" xfId="3" applyNumberFormat="1" applyFont="1" applyFill="1" applyBorder="1" applyAlignment="1">
      <alignment horizontal="right" vertical="center" wrapText="1"/>
    </xf>
    <xf numFmtId="170" fontId="10" fillId="0" borderId="11" xfId="3" applyNumberFormat="1" applyFont="1" applyFill="1" applyBorder="1" applyAlignment="1">
      <alignment horizontal="right" vertical="center" wrapText="1"/>
    </xf>
    <xf numFmtId="170" fontId="10" fillId="0" borderId="33" xfId="3" applyNumberFormat="1" applyFont="1" applyFill="1" applyBorder="1" applyAlignment="1">
      <alignment horizontal="right" vertical="center" wrapText="1"/>
    </xf>
    <xf numFmtId="0" fontId="23" fillId="2" borderId="61" xfId="3" applyFont="1" applyFill="1" applyBorder="1" applyAlignment="1">
      <alignment horizontal="right" vertical="center" wrapText="1"/>
    </xf>
    <xf numFmtId="0" fontId="23" fillId="2" borderId="40" xfId="3" applyFont="1" applyFill="1" applyBorder="1" applyAlignment="1">
      <alignment horizontal="right" vertical="center" wrapText="1"/>
    </xf>
    <xf numFmtId="0" fontId="23" fillId="2" borderId="58" xfId="3" applyFont="1" applyFill="1" applyBorder="1" applyAlignment="1">
      <alignment horizontal="right" vertical="center" wrapText="1"/>
    </xf>
    <xf numFmtId="0" fontId="22" fillId="0" borderId="0" xfId="0" applyFont="1" applyBorder="1" applyAlignment="1">
      <alignment horizontal="center" vertical="center"/>
    </xf>
    <xf numFmtId="0" fontId="22" fillId="0" borderId="13" xfId="0" applyFont="1" applyBorder="1" applyAlignment="1">
      <alignment horizontal="center" vertical="center"/>
    </xf>
    <xf numFmtId="0" fontId="18" fillId="2" borderId="50" xfId="3" applyFont="1" applyFill="1" applyBorder="1" applyAlignment="1">
      <alignment horizontal="right" vertical="center" wrapText="1"/>
    </xf>
    <xf numFmtId="0" fontId="18" fillId="2" borderId="46" xfId="3" applyFont="1" applyFill="1" applyBorder="1" applyAlignment="1">
      <alignment horizontal="right" vertical="center" wrapText="1"/>
    </xf>
    <xf numFmtId="0" fontId="18" fillId="2" borderId="51" xfId="3" applyFont="1" applyFill="1" applyBorder="1" applyAlignment="1">
      <alignment horizontal="right" vertical="center" wrapText="1"/>
    </xf>
    <xf numFmtId="0" fontId="23" fillId="2" borderId="38" xfId="3" applyFont="1" applyFill="1" applyBorder="1" applyAlignment="1">
      <alignment horizontal="center" vertical="center" wrapText="1"/>
    </xf>
    <xf numFmtId="0" fontId="23" fillId="2" borderId="43" xfId="3" applyFont="1" applyFill="1" applyBorder="1" applyAlignment="1">
      <alignment horizontal="center" vertical="center" wrapText="1"/>
    </xf>
    <xf numFmtId="0" fontId="23" fillId="2" borderId="57" xfId="3" applyFont="1" applyFill="1" applyBorder="1" applyAlignment="1">
      <alignment horizontal="center" vertical="center" wrapText="1"/>
    </xf>
    <xf numFmtId="0" fontId="10" fillId="0" borderId="43" xfId="0" applyFont="1" applyBorder="1" applyAlignment="1">
      <alignment horizontal="left" vertical="center" wrapText="1"/>
    </xf>
    <xf numFmtId="0" fontId="22" fillId="0" borderId="0" xfId="0" applyFont="1" applyBorder="1" applyAlignment="1">
      <alignment horizontal="center"/>
    </xf>
    <xf numFmtId="0" fontId="22" fillId="0" borderId="13" xfId="0" applyFont="1" applyBorder="1" applyAlignment="1">
      <alignment horizontal="center"/>
    </xf>
    <xf numFmtId="0" fontId="22" fillId="0" borderId="55" xfId="0" applyFont="1" applyBorder="1" applyAlignment="1">
      <alignment horizontal="center" vertical="center"/>
    </xf>
    <xf numFmtId="0" fontId="22" fillId="0" borderId="43" xfId="0" applyFont="1" applyBorder="1" applyAlignment="1">
      <alignment horizontal="center" vertical="center"/>
    </xf>
    <xf numFmtId="0" fontId="22" fillId="0" borderId="56" xfId="0" applyFont="1" applyBorder="1" applyAlignment="1">
      <alignment horizontal="center" vertical="center"/>
    </xf>
    <xf numFmtId="0" fontId="11" fillId="0" borderId="7" xfId="0" applyFont="1" applyBorder="1" applyAlignment="1">
      <alignment horizontal="right" vertical="center"/>
    </xf>
    <xf numFmtId="0" fontId="11" fillId="0" borderId="11" xfId="0" applyFont="1" applyBorder="1" applyAlignment="1">
      <alignment horizontal="right" vertical="center"/>
    </xf>
    <xf numFmtId="0" fontId="11" fillId="0" borderId="33" xfId="0" applyFont="1" applyBorder="1" applyAlignment="1">
      <alignment horizontal="right" vertical="center"/>
    </xf>
    <xf numFmtId="0" fontId="10" fillId="0" borderId="112" xfId="0" applyFont="1" applyBorder="1" applyAlignment="1">
      <alignment horizontal="center" vertical="center"/>
    </xf>
    <xf numFmtId="0" fontId="10" fillId="0" borderId="111" xfId="0" applyFont="1" applyBorder="1" applyAlignment="1">
      <alignment horizontal="center" vertical="center"/>
    </xf>
    <xf numFmtId="0" fontId="24" fillId="0" borderId="122" xfId="0" applyFont="1" applyBorder="1" applyAlignment="1">
      <alignment horizontal="center"/>
    </xf>
    <xf numFmtId="0" fontId="24" fillId="0" borderId="137" xfId="0" applyFont="1" applyBorder="1" applyAlignment="1">
      <alignment horizontal="center"/>
    </xf>
    <xf numFmtId="0" fontId="18" fillId="2" borderId="61" xfId="3" applyFont="1" applyFill="1" applyBorder="1" applyAlignment="1">
      <alignment horizontal="right" vertical="center" wrapText="1"/>
    </xf>
    <xf numFmtId="0" fontId="10" fillId="0" borderId="6" xfId="0" applyFont="1" applyBorder="1" applyAlignment="1">
      <alignment horizontal="center" vertical="center"/>
    </xf>
    <xf numFmtId="0" fontId="23" fillId="5" borderId="63" xfId="3" applyFont="1" applyFill="1" applyBorder="1" applyAlignment="1">
      <alignment horizontal="center" vertical="center" wrapText="1"/>
    </xf>
    <xf numFmtId="0" fontId="23" fillId="5" borderId="0" xfId="3" applyFont="1" applyFill="1" applyBorder="1" applyAlignment="1">
      <alignment horizontal="center" vertical="center" wrapText="1"/>
    </xf>
    <xf numFmtId="0" fontId="23" fillId="5" borderId="62" xfId="3" applyFont="1" applyFill="1" applyBorder="1" applyAlignment="1">
      <alignment horizontal="center" vertical="center" wrapText="1"/>
    </xf>
    <xf numFmtId="0" fontId="18" fillId="2" borderId="60" xfId="3" applyFont="1" applyFill="1" applyBorder="1" applyAlignment="1">
      <alignment horizontal="right" vertical="center" wrapText="1"/>
    </xf>
    <xf numFmtId="170" fontId="11" fillId="0" borderId="74" xfId="3" applyNumberFormat="1" applyFont="1" applyFill="1" applyBorder="1" applyAlignment="1">
      <alignment horizontal="right" vertical="center" wrapText="1"/>
    </xf>
    <xf numFmtId="170" fontId="11" fillId="0" borderId="58" xfId="3" applyNumberFormat="1" applyFont="1" applyFill="1" applyBorder="1" applyAlignment="1">
      <alignment horizontal="right" vertical="center" wrapText="1"/>
    </xf>
    <xf numFmtId="170" fontId="11" fillId="0" borderId="59" xfId="3" applyNumberFormat="1" applyFont="1" applyFill="1" applyBorder="1" applyAlignment="1">
      <alignment horizontal="right" vertical="center" wrapText="1"/>
    </xf>
    <xf numFmtId="0" fontId="18" fillId="2" borderId="38" xfId="3" applyFont="1" applyFill="1" applyBorder="1" applyAlignment="1">
      <alignment horizontal="right" vertical="center" wrapText="1"/>
    </xf>
    <xf numFmtId="0" fontId="18" fillId="2" borderId="43" xfId="3" applyFont="1" applyFill="1" applyBorder="1" applyAlignment="1">
      <alignment horizontal="right" vertical="center" wrapText="1"/>
    </xf>
    <xf numFmtId="0" fontId="24" fillId="0" borderId="38" xfId="0" applyFont="1" applyBorder="1" applyAlignment="1">
      <alignment horizontal="center"/>
    </xf>
    <xf numFmtId="0" fontId="24" fillId="0" borderId="57" xfId="0" applyFont="1" applyBorder="1" applyAlignment="1">
      <alignment horizontal="center"/>
    </xf>
    <xf numFmtId="0" fontId="24" fillId="0" borderId="37" xfId="0" applyFont="1" applyBorder="1" applyAlignment="1">
      <alignment horizontal="left" vertical="center"/>
    </xf>
    <xf numFmtId="0" fontId="11" fillId="0" borderId="37" xfId="3" applyFont="1" applyFill="1" applyBorder="1" applyAlignment="1">
      <alignment horizontal="center" vertical="center" wrapText="1"/>
    </xf>
    <xf numFmtId="0" fontId="18" fillId="0" borderId="37" xfId="3" applyFont="1" applyFill="1" applyBorder="1" applyAlignment="1">
      <alignment horizontal="center" vertical="center" wrapText="1"/>
    </xf>
    <xf numFmtId="170" fontId="11" fillId="0" borderId="21" xfId="3" applyNumberFormat="1" applyFont="1" applyFill="1" applyBorder="1" applyAlignment="1">
      <alignment horizontal="right" vertical="center" wrapText="1"/>
    </xf>
    <xf numFmtId="170" fontId="11" fillId="0" borderId="22" xfId="3" applyNumberFormat="1" applyFont="1" applyFill="1" applyBorder="1" applyAlignment="1">
      <alignment horizontal="right" vertical="center" wrapText="1"/>
    </xf>
    <xf numFmtId="170" fontId="11" fillId="0" borderId="41" xfId="3" applyNumberFormat="1" applyFont="1" applyFill="1" applyBorder="1" applyAlignment="1">
      <alignment horizontal="right" vertical="center" wrapText="1"/>
    </xf>
    <xf numFmtId="0" fontId="24" fillId="0" borderId="63" xfId="0" applyFont="1" applyBorder="1" applyAlignment="1">
      <alignment horizontal="center"/>
    </xf>
    <xf numFmtId="0" fontId="24" fillId="0" borderId="62" xfId="0" applyFont="1" applyBorder="1" applyAlignment="1">
      <alignment horizontal="center"/>
    </xf>
    <xf numFmtId="0" fontId="10" fillId="0" borderId="43" xfId="0" applyFont="1" applyFill="1" applyBorder="1" applyAlignment="1">
      <alignment horizontal="center" vertical="center" wrapText="1"/>
    </xf>
    <xf numFmtId="0" fontId="10" fillId="0" borderId="38" xfId="0" applyFont="1" applyBorder="1" applyAlignment="1">
      <alignment horizontal="center" vertical="center"/>
    </xf>
    <xf numFmtId="0" fontId="10" fillId="0" borderId="57" xfId="0" applyFont="1" applyBorder="1" applyAlignment="1">
      <alignment horizontal="center" vertical="center"/>
    </xf>
    <xf numFmtId="170" fontId="10" fillId="0" borderId="55" xfId="3" applyNumberFormat="1" applyFont="1" applyFill="1" applyBorder="1" applyAlignment="1">
      <alignment horizontal="justify" vertical="center" wrapText="1"/>
    </xf>
    <xf numFmtId="170" fontId="10" fillId="0" borderId="43" xfId="3" applyNumberFormat="1" applyFont="1" applyFill="1" applyBorder="1" applyAlignment="1">
      <alignment horizontal="justify" vertical="center" wrapText="1"/>
    </xf>
    <xf numFmtId="170" fontId="10" fillId="0" borderId="56" xfId="3" applyNumberFormat="1" applyFont="1" applyFill="1" applyBorder="1" applyAlignment="1">
      <alignment horizontal="justify" vertical="center" wrapText="1"/>
    </xf>
    <xf numFmtId="0" fontId="23" fillId="2" borderId="14" xfId="0" applyFont="1" applyFill="1" applyBorder="1" applyAlignment="1">
      <alignment horizontal="right" vertical="center" wrapText="1"/>
    </xf>
    <xf numFmtId="0" fontId="10" fillId="0" borderId="25"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0" fillId="0" borderId="33" xfId="0" applyFont="1" applyFill="1" applyBorder="1" applyAlignment="1">
      <alignment horizontal="right" vertical="center" wrapText="1"/>
    </xf>
    <xf numFmtId="167" fontId="23" fillId="0" borderId="83" xfId="0" applyNumberFormat="1" applyFont="1" applyBorder="1" applyAlignment="1">
      <alignment horizontal="center" vertical="center"/>
    </xf>
    <xf numFmtId="167" fontId="23" fillId="0" borderId="84"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9" fillId="0" borderId="7" xfId="0" applyNumberFormat="1" applyFont="1" applyBorder="1" applyAlignment="1">
      <alignment horizontal="left" vertical="center" wrapText="1"/>
    </xf>
    <xf numFmtId="167" fontId="19" fillId="0" borderId="10" xfId="0" applyNumberFormat="1" applyFont="1" applyBorder="1" applyAlignment="1">
      <alignment horizontal="left" vertical="center" wrapText="1"/>
    </xf>
    <xf numFmtId="167" fontId="10" fillId="0" borderId="40" xfId="0" applyNumberFormat="1" applyFont="1" applyBorder="1" applyAlignment="1">
      <alignment horizontal="center" vertical="center"/>
    </xf>
    <xf numFmtId="167" fontId="10" fillId="0" borderId="42" xfId="0" applyNumberFormat="1" applyFont="1" applyBorder="1" applyAlignment="1">
      <alignment horizontal="center" vertical="center"/>
    </xf>
    <xf numFmtId="0" fontId="11" fillId="0" borderId="55" xfId="3" applyFont="1" applyFill="1" applyBorder="1" applyAlignment="1">
      <alignment horizontal="left" vertical="center" wrapText="1"/>
    </xf>
    <xf numFmtId="0" fontId="11" fillId="0" borderId="43" xfId="3" applyFont="1" applyFill="1" applyBorder="1" applyAlignment="1">
      <alignment horizontal="left" vertical="center" wrapText="1"/>
    </xf>
    <xf numFmtId="0" fontId="11" fillId="0" borderId="56" xfId="3" applyFont="1" applyFill="1" applyBorder="1" applyAlignment="1">
      <alignment horizontal="left" vertical="center" wrapText="1"/>
    </xf>
    <xf numFmtId="0" fontId="10" fillId="0" borderId="113" xfId="0" applyFont="1" applyFill="1" applyBorder="1" applyAlignment="1">
      <alignment horizontal="right" vertical="center" wrapText="1"/>
    </xf>
    <xf numFmtId="0" fontId="10" fillId="0" borderId="114" xfId="0" applyFont="1" applyFill="1" applyBorder="1" applyAlignment="1">
      <alignment horizontal="right" vertical="center" wrapText="1"/>
    </xf>
    <xf numFmtId="0" fontId="23" fillId="2" borderId="136" xfId="0" applyFont="1" applyFill="1" applyBorder="1" applyAlignment="1">
      <alignment horizontal="right" vertical="center" wrapText="1"/>
    </xf>
    <xf numFmtId="0" fontId="27" fillId="0" borderId="26" xfId="0" applyFont="1" applyBorder="1" applyAlignment="1">
      <alignment horizontal="center" vertical="center"/>
    </xf>
    <xf numFmtId="0" fontId="27" fillId="0" borderId="34" xfId="0" applyFont="1" applyBorder="1" applyAlignment="1">
      <alignment horizontal="center" vertical="center"/>
    </xf>
    <xf numFmtId="0" fontId="27" fillId="0" borderId="28" xfId="0" applyFont="1" applyBorder="1" applyAlignment="1">
      <alignment horizontal="center" vertical="center"/>
    </xf>
    <xf numFmtId="0" fontId="18" fillId="31" borderId="83" xfId="3" applyFont="1" applyFill="1" applyBorder="1" applyAlignment="1">
      <alignment horizontal="center" vertical="center"/>
    </xf>
    <xf numFmtId="0" fontId="18" fillId="31" borderId="84" xfId="3" applyFont="1" applyFill="1" applyBorder="1" applyAlignment="1">
      <alignment horizontal="center" vertical="center"/>
    </xf>
    <xf numFmtId="170" fontId="10" fillId="0" borderId="24" xfId="3" applyNumberFormat="1" applyFont="1" applyFill="1" applyBorder="1" applyAlignment="1">
      <alignment horizontal="right" vertical="center" wrapText="1"/>
    </xf>
    <xf numFmtId="170" fontId="10" fillId="0" borderId="6" xfId="3" applyNumberFormat="1" applyFont="1" applyFill="1" applyBorder="1" applyAlignment="1">
      <alignment horizontal="right" vertical="center" wrapText="1"/>
    </xf>
    <xf numFmtId="170" fontId="10" fillId="0" borderId="16" xfId="3" applyNumberFormat="1" applyFont="1" applyFill="1" applyBorder="1" applyAlignment="1">
      <alignment horizontal="right" vertical="center" wrapText="1"/>
    </xf>
    <xf numFmtId="0" fontId="18" fillId="0" borderId="136" xfId="3" applyFont="1" applyFill="1" applyBorder="1" applyAlignment="1">
      <alignment horizontal="right" vertical="center" wrapText="1"/>
    </xf>
    <xf numFmtId="0" fontId="18" fillId="5" borderId="83" xfId="3" applyFont="1" applyFill="1" applyBorder="1" applyAlignment="1">
      <alignment horizontal="center" vertical="center"/>
    </xf>
    <xf numFmtId="0" fontId="18" fillId="5" borderId="84" xfId="3" applyFont="1" applyFill="1" applyBorder="1" applyAlignment="1">
      <alignment horizontal="center" vertical="center"/>
    </xf>
    <xf numFmtId="0" fontId="23" fillId="0" borderId="61" xfId="3" applyFont="1" applyFill="1" applyBorder="1" applyAlignment="1">
      <alignment horizontal="right" vertical="center" wrapText="1"/>
    </xf>
    <xf numFmtId="0" fontId="23" fillId="0" borderId="0" xfId="3" applyFont="1" applyFill="1" applyBorder="1" applyAlignment="1">
      <alignment horizontal="center" vertical="center" wrapText="1"/>
    </xf>
    <xf numFmtId="0" fontId="18" fillId="0" borderId="61" xfId="3" applyFont="1" applyFill="1" applyBorder="1" applyAlignment="1">
      <alignment horizontal="right" vertical="center" wrapText="1"/>
    </xf>
    <xf numFmtId="0" fontId="18" fillId="2" borderId="136" xfId="0" applyFont="1" applyFill="1" applyBorder="1" applyAlignment="1">
      <alignment horizontal="right" vertical="center" wrapText="1"/>
    </xf>
    <xf numFmtId="0" fontId="11" fillId="0" borderId="24"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6" xfId="0" applyFont="1" applyBorder="1" applyAlignment="1">
      <alignment horizontal="right" vertical="center" wrapText="1"/>
    </xf>
    <xf numFmtId="0" fontId="11" fillId="0" borderId="52" xfId="0" applyFont="1" applyBorder="1" applyAlignment="1">
      <alignment horizontal="right" vertical="center" wrapText="1"/>
    </xf>
    <xf numFmtId="0" fontId="11" fillId="0" borderId="53" xfId="0" applyFont="1" applyBorder="1" applyAlignment="1">
      <alignment horizontal="right" vertical="center" wrapText="1"/>
    </xf>
    <xf numFmtId="0" fontId="11" fillId="0" borderId="54" xfId="0" applyFont="1" applyBorder="1" applyAlignment="1">
      <alignment horizontal="right" vertical="center" wrapText="1"/>
    </xf>
    <xf numFmtId="0" fontId="18" fillId="2" borderId="38" xfId="0" applyFont="1" applyFill="1" applyBorder="1" applyAlignment="1">
      <alignment horizontal="right" vertical="center" wrapText="1"/>
    </xf>
    <xf numFmtId="0" fontId="18" fillId="2" borderId="43" xfId="0" applyFont="1" applyFill="1" applyBorder="1" applyAlignment="1">
      <alignment horizontal="right" vertical="center" wrapText="1"/>
    </xf>
    <xf numFmtId="0" fontId="18" fillId="2" borderId="57" xfId="0" applyFont="1" applyFill="1" applyBorder="1" applyAlignment="1">
      <alignment horizontal="right" vertical="center" wrapText="1"/>
    </xf>
    <xf numFmtId="0" fontId="23" fillId="2" borderId="83" xfId="3" applyFont="1" applyFill="1" applyBorder="1" applyAlignment="1">
      <alignment horizontal="center" vertical="center" wrapText="1"/>
    </xf>
    <xf numFmtId="0" fontId="23" fillId="2" borderId="53" xfId="3" applyFont="1" applyFill="1" applyBorder="1" applyAlignment="1">
      <alignment horizontal="center" vertical="center" wrapText="1"/>
    </xf>
    <xf numFmtId="0" fontId="23" fillId="2" borderId="84" xfId="3" applyFont="1" applyFill="1" applyBorder="1" applyAlignment="1">
      <alignment horizontal="center" vertical="center" wrapText="1"/>
    </xf>
    <xf numFmtId="0" fontId="25" fillId="0" borderId="112" xfId="0" applyFont="1" applyBorder="1" applyAlignment="1">
      <alignment horizontal="center" vertical="center"/>
    </xf>
    <xf numFmtId="0" fontId="25" fillId="0" borderId="111" xfId="0" applyFont="1" applyBorder="1" applyAlignment="1">
      <alignment horizontal="center" vertical="center"/>
    </xf>
    <xf numFmtId="0" fontId="10" fillId="0" borderId="52" xfId="0" applyFont="1" applyBorder="1" applyAlignment="1">
      <alignment horizontal="right" vertical="center" wrapText="1"/>
    </xf>
    <xf numFmtId="0" fontId="10" fillId="0" borderId="53" xfId="0" applyFont="1" applyBorder="1" applyAlignment="1">
      <alignment horizontal="right" vertical="center" wrapText="1"/>
    </xf>
    <xf numFmtId="0" fontId="10" fillId="0" borderId="54" xfId="0" applyFont="1" applyBorder="1" applyAlignment="1">
      <alignment horizontal="right" vertical="center" wrapText="1"/>
    </xf>
    <xf numFmtId="0" fontId="18" fillId="2" borderId="37" xfId="0" applyFont="1" applyFill="1" applyBorder="1" applyAlignment="1">
      <alignment horizontal="right" vertical="center" wrapText="1"/>
    </xf>
    <xf numFmtId="0" fontId="23" fillId="0" borderId="37" xfId="0" applyFont="1" applyFill="1" applyBorder="1" applyAlignment="1">
      <alignment horizontal="right" vertical="center" wrapText="1"/>
    </xf>
    <xf numFmtId="0" fontId="11" fillId="0" borderId="52" xfId="0" applyFont="1" applyFill="1" applyBorder="1" applyAlignment="1">
      <alignment horizontal="right" vertical="center" wrapText="1"/>
    </xf>
    <xf numFmtId="0" fontId="11" fillId="0" borderId="53" xfId="0" applyFont="1" applyFill="1" applyBorder="1" applyAlignment="1">
      <alignment horizontal="right" vertical="center" wrapText="1"/>
    </xf>
    <xf numFmtId="0" fontId="11" fillId="0" borderId="54" xfId="0" applyFont="1" applyFill="1" applyBorder="1" applyAlignment="1">
      <alignment horizontal="right" vertical="center" wrapText="1"/>
    </xf>
    <xf numFmtId="0" fontId="25" fillId="0" borderId="7" xfId="0" applyFont="1" applyBorder="1" applyAlignment="1">
      <alignment horizontal="center" vertical="center"/>
    </xf>
    <xf numFmtId="0" fontId="25" fillId="0" borderId="10" xfId="0" applyFont="1" applyBorder="1" applyAlignment="1">
      <alignment horizontal="center" vertical="center"/>
    </xf>
    <xf numFmtId="0" fontId="27" fillId="0" borderId="55" xfId="0" applyFont="1" applyBorder="1" applyAlignment="1">
      <alignment horizontal="center" vertical="center"/>
    </xf>
    <xf numFmtId="0" fontId="27" fillId="0" borderId="43" xfId="0" applyFont="1" applyBorder="1" applyAlignment="1">
      <alignment horizontal="center" vertical="center"/>
    </xf>
    <xf numFmtId="0" fontId="27" fillId="0" borderId="56" xfId="0" applyFont="1" applyBorder="1" applyAlignment="1">
      <alignment horizontal="center" vertical="center"/>
    </xf>
    <xf numFmtId="0" fontId="11" fillId="0" borderId="21" xfId="0" applyFont="1" applyBorder="1" applyAlignment="1">
      <alignment horizontal="right" vertical="center" wrapText="1"/>
    </xf>
    <xf numFmtId="0" fontId="11" fillId="0" borderId="22" xfId="0" applyFont="1" applyBorder="1" applyAlignment="1">
      <alignment horizontal="right" vertical="center" wrapText="1"/>
    </xf>
    <xf numFmtId="0" fontId="11" fillId="0" borderId="41" xfId="0" applyFont="1" applyBorder="1" applyAlignment="1">
      <alignment horizontal="right" vertical="center" wrapText="1"/>
    </xf>
    <xf numFmtId="170" fontId="10" fillId="0" borderId="21" xfId="3" applyNumberFormat="1" applyFont="1" applyFill="1" applyBorder="1" applyAlignment="1">
      <alignment horizontal="right" vertical="center" wrapText="1"/>
    </xf>
    <xf numFmtId="170" fontId="10" fillId="0" borderId="22" xfId="3" applyNumberFormat="1" applyFont="1" applyFill="1" applyBorder="1" applyAlignment="1">
      <alignment horizontal="right" vertical="center" wrapText="1"/>
    </xf>
    <xf numFmtId="170" fontId="10" fillId="0" borderId="41" xfId="3" applyNumberFormat="1" applyFont="1" applyFill="1" applyBorder="1" applyAlignment="1">
      <alignment horizontal="right" vertical="center" wrapText="1"/>
    </xf>
    <xf numFmtId="0" fontId="23" fillId="2" borderId="37" xfId="3" applyFont="1" applyFill="1" applyBorder="1" applyAlignment="1">
      <alignment horizontal="right" vertical="center" wrapText="1"/>
    </xf>
    <xf numFmtId="167" fontId="19" fillId="0" borderId="123" xfId="0" quotePrefix="1" applyNumberFormat="1" applyFont="1" applyFill="1" applyBorder="1" applyAlignment="1" applyProtection="1">
      <alignment horizontal="center" vertical="center" wrapText="1"/>
    </xf>
    <xf numFmtId="167" fontId="19" fillId="0" borderId="111" xfId="0" quotePrefix="1" applyNumberFormat="1" applyFont="1" applyFill="1" applyBorder="1" applyAlignment="1" applyProtection="1">
      <alignment horizontal="center" vertical="center" wrapText="1"/>
    </xf>
    <xf numFmtId="167" fontId="19" fillId="0" borderId="112" xfId="0" applyNumberFormat="1" applyFont="1" applyFill="1" applyBorder="1" applyAlignment="1" applyProtection="1">
      <alignment horizontal="center" vertical="center" wrapText="1"/>
    </xf>
    <xf numFmtId="167" fontId="19" fillId="0" borderId="113" xfId="0" applyNumberFormat="1" applyFont="1" applyFill="1" applyBorder="1" applyAlignment="1" applyProtection="1">
      <alignment horizontal="center" vertical="center" wrapText="1"/>
    </xf>
    <xf numFmtId="167" fontId="19" fillId="0" borderId="114" xfId="0" applyNumberFormat="1" applyFont="1" applyFill="1" applyBorder="1" applyAlignment="1" applyProtection="1">
      <alignment horizontal="center" vertical="center" wrapText="1"/>
    </xf>
    <xf numFmtId="0" fontId="70" fillId="41" borderId="74" xfId="0" applyNumberFormat="1" applyFont="1" applyFill="1" applyBorder="1" applyAlignment="1" applyProtection="1">
      <alignment horizontal="right" vertical="center" wrapText="1"/>
    </xf>
    <xf numFmtId="0" fontId="70" fillId="41" borderId="116" xfId="0" applyNumberFormat="1" applyFont="1" applyFill="1" applyBorder="1" applyAlignment="1" applyProtection="1">
      <alignment horizontal="right" vertical="center" wrapText="1"/>
    </xf>
    <xf numFmtId="0" fontId="70" fillId="41" borderId="42" xfId="0" applyNumberFormat="1" applyFont="1" applyFill="1" applyBorder="1" applyAlignment="1" applyProtection="1">
      <alignment horizontal="right" vertical="center" wrapText="1"/>
    </xf>
    <xf numFmtId="0" fontId="70" fillId="0" borderId="40"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xf>
    <xf numFmtId="0" fontId="70" fillId="0" borderId="59" xfId="0" applyNumberFormat="1" applyFont="1" applyFill="1" applyBorder="1" applyAlignment="1" applyProtection="1">
      <alignment horizontal="center" vertical="center" wrapText="1"/>
    </xf>
    <xf numFmtId="0" fontId="70" fillId="35" borderId="38" xfId="0" applyNumberFormat="1" applyFont="1" applyFill="1" applyBorder="1" applyAlignment="1" applyProtection="1">
      <alignment horizontal="left" vertical="center"/>
    </xf>
    <xf numFmtId="0" fontId="70" fillId="35" borderId="43" xfId="0" applyNumberFormat="1" applyFont="1" applyFill="1" applyBorder="1" applyAlignment="1" applyProtection="1">
      <alignment horizontal="left" vertical="center"/>
    </xf>
    <xf numFmtId="0" fontId="70" fillId="35" borderId="56" xfId="0" applyNumberFormat="1" applyFont="1" applyFill="1" applyBorder="1" applyAlignment="1" applyProtection="1">
      <alignment horizontal="left" vertical="center"/>
    </xf>
    <xf numFmtId="0" fontId="19" fillId="0" borderId="80"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0" fontId="19" fillId="0" borderId="81" xfId="0" applyNumberFormat="1" applyFont="1" applyFill="1" applyBorder="1" applyAlignment="1" applyProtection="1">
      <alignment horizontal="center" vertical="center" wrapText="1"/>
    </xf>
    <xf numFmtId="2" fontId="19" fillId="0" borderId="123" xfId="0" applyNumberFormat="1" applyFont="1" applyFill="1" applyBorder="1" applyAlignment="1" applyProtection="1">
      <alignment horizontal="center" vertical="center" wrapText="1"/>
    </xf>
    <xf numFmtId="2" fontId="19" fillId="0" borderId="113" xfId="0" applyNumberFormat="1" applyFont="1" applyFill="1" applyBorder="1" applyAlignment="1" applyProtection="1">
      <alignment horizontal="center" vertical="center" wrapText="1"/>
    </xf>
    <xf numFmtId="2" fontId="19" fillId="0" borderId="114" xfId="0" applyNumberFormat="1" applyFont="1" applyFill="1" applyBorder="1" applyAlignment="1" applyProtection="1">
      <alignment horizontal="center" vertical="center" wrapText="1"/>
    </xf>
    <xf numFmtId="0" fontId="70" fillId="41" borderId="123" xfId="0" applyNumberFormat="1" applyFont="1" applyFill="1" applyBorder="1" applyAlignment="1" applyProtection="1">
      <alignment horizontal="center" vertical="center" wrapText="1"/>
    </xf>
    <xf numFmtId="0" fontId="70" fillId="41" borderId="111" xfId="0" applyNumberFormat="1" applyFont="1" applyFill="1" applyBorder="1" applyAlignment="1" applyProtection="1">
      <alignment horizontal="center" vertical="center" wrapText="1"/>
    </xf>
    <xf numFmtId="0" fontId="70" fillId="41" borderId="112" xfId="0" applyNumberFormat="1" applyFont="1" applyFill="1" applyBorder="1" applyAlignment="1" applyProtection="1">
      <alignment horizontal="center" vertical="center" wrapText="1"/>
    </xf>
    <xf numFmtId="0" fontId="70" fillId="41" borderId="113" xfId="0" applyNumberFormat="1" applyFont="1" applyFill="1" applyBorder="1" applyAlignment="1" applyProtection="1">
      <alignment horizontal="center" vertical="center" wrapText="1"/>
    </xf>
    <xf numFmtId="0" fontId="70" fillId="41" borderId="114" xfId="0" applyNumberFormat="1" applyFont="1" applyFill="1" applyBorder="1" applyAlignment="1" applyProtection="1">
      <alignment horizontal="center" vertical="center" wrapText="1"/>
    </xf>
    <xf numFmtId="167" fontId="19" fillId="0" borderId="123" xfId="0" quotePrefix="1" applyNumberFormat="1" applyFont="1" applyFill="1" applyBorder="1" applyAlignment="1" applyProtection="1">
      <alignment horizontal="left" vertical="center" wrapText="1"/>
    </xf>
    <xf numFmtId="167" fontId="19" fillId="0" borderId="111" xfId="0" quotePrefix="1" applyNumberFormat="1" applyFont="1" applyFill="1" applyBorder="1" applyAlignment="1" applyProtection="1">
      <alignment horizontal="left" vertical="center" wrapText="1"/>
    </xf>
    <xf numFmtId="167" fontId="19" fillId="0" borderId="112" xfId="0" quotePrefix="1" applyNumberFormat="1" applyFont="1" applyFill="1" applyBorder="1" applyAlignment="1" applyProtection="1">
      <alignment horizontal="center" vertical="center" wrapText="1"/>
    </xf>
    <xf numFmtId="167" fontId="19" fillId="0" borderId="113" xfId="0" quotePrefix="1" applyNumberFormat="1" applyFont="1" applyFill="1" applyBorder="1" applyAlignment="1" applyProtection="1">
      <alignment horizontal="center" vertical="center" wrapText="1"/>
    </xf>
    <xf numFmtId="167" fontId="19" fillId="0" borderId="114" xfId="0" quotePrefix="1"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xf>
    <xf numFmtId="0" fontId="19" fillId="0" borderId="113" xfId="0" applyNumberFormat="1" applyFont="1" applyFill="1" applyBorder="1" applyAlignment="1" applyProtection="1">
      <alignment horizontal="center" vertical="center" wrapText="1"/>
    </xf>
    <xf numFmtId="0" fontId="19" fillId="0" borderId="114" xfId="0" applyNumberFormat="1" applyFont="1" applyFill="1" applyBorder="1" applyAlignment="1" applyProtection="1">
      <alignment horizontal="center" vertical="center" wrapText="1"/>
    </xf>
    <xf numFmtId="2" fontId="105" fillId="0" borderId="123" xfId="0" applyNumberFormat="1" applyFont="1" applyFill="1" applyBorder="1" applyAlignment="1" applyProtection="1">
      <alignment horizontal="center" vertical="center" wrapText="1"/>
    </xf>
    <xf numFmtId="2" fontId="105" fillId="0" borderId="113" xfId="0" applyNumberFormat="1" applyFont="1" applyFill="1" applyBorder="1" applyAlignment="1" applyProtection="1">
      <alignment horizontal="center" vertical="center" wrapText="1"/>
    </xf>
    <xf numFmtId="2" fontId="105" fillId="0" borderId="114" xfId="0" applyNumberFormat="1" applyFont="1" applyFill="1" applyBorder="1" applyAlignment="1" applyProtection="1">
      <alignment horizontal="center" vertical="center" wrapText="1"/>
    </xf>
    <xf numFmtId="0" fontId="70" fillId="41" borderId="112" xfId="0" applyNumberFormat="1" applyFont="1" applyFill="1" applyBorder="1" applyAlignment="1" applyProtection="1">
      <alignment horizontal="center" vertical="center"/>
    </xf>
    <xf numFmtId="0" fontId="70" fillId="41" borderId="113" xfId="0" applyNumberFormat="1" applyFont="1" applyFill="1" applyBorder="1" applyAlignment="1" applyProtection="1">
      <alignment horizontal="center" vertical="center"/>
    </xf>
    <xf numFmtId="0" fontId="70" fillId="41" borderId="114" xfId="0" applyNumberFormat="1" applyFont="1" applyFill="1" applyBorder="1" applyAlignment="1" applyProtection="1">
      <alignment horizontal="center" vertical="center"/>
    </xf>
    <xf numFmtId="0" fontId="70" fillId="0" borderId="124" xfId="0" applyNumberFormat="1" applyFont="1" applyFill="1" applyBorder="1" applyAlignment="1" applyProtection="1">
      <alignment horizontal="center" vertical="center"/>
    </xf>
    <xf numFmtId="0" fontId="70" fillId="0" borderId="107" xfId="0" applyNumberFormat="1" applyFont="1" applyFill="1" applyBorder="1" applyAlignment="1" applyProtection="1">
      <alignment horizontal="center" vertical="center"/>
    </xf>
    <xf numFmtId="0" fontId="70" fillId="0" borderId="108" xfId="0" applyNumberFormat="1" applyFont="1" applyFill="1" applyBorder="1" applyAlignment="1" applyProtection="1">
      <alignment horizontal="center" vertical="center"/>
    </xf>
    <xf numFmtId="0" fontId="70" fillId="0" borderId="82" xfId="0" applyNumberFormat="1" applyFont="1" applyFill="1" applyBorder="1" applyAlignment="1" applyProtection="1">
      <alignment horizontal="center" vertical="center"/>
    </xf>
    <xf numFmtId="0" fontId="70" fillId="0" borderId="5" xfId="0" applyNumberFormat="1" applyFont="1" applyFill="1" applyBorder="1" applyAlignment="1" applyProtection="1">
      <alignment horizontal="center" vertical="center"/>
    </xf>
    <xf numFmtId="0" fontId="70" fillId="0" borderId="81" xfId="0" applyNumberFormat="1" applyFont="1" applyFill="1" applyBorder="1" applyAlignment="1" applyProtection="1">
      <alignment horizontal="center" vertical="center"/>
    </xf>
    <xf numFmtId="0" fontId="70" fillId="41" borderId="124" xfId="0" applyNumberFormat="1" applyFont="1" applyFill="1" applyBorder="1" applyAlignment="1" applyProtection="1">
      <alignment horizontal="center" vertical="center"/>
    </xf>
    <xf numFmtId="0" fontId="70" fillId="41" borderId="108" xfId="0" applyNumberFormat="1" applyFont="1" applyFill="1" applyBorder="1" applyAlignment="1" applyProtection="1">
      <alignment horizontal="center" vertical="center"/>
    </xf>
    <xf numFmtId="0" fontId="19" fillId="0" borderId="63"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122" xfId="0" applyNumberFormat="1" applyFont="1" applyFill="1" applyBorder="1" applyAlignment="1" applyProtection="1">
      <alignment horizontal="center" vertical="center"/>
    </xf>
    <xf numFmtId="0" fontId="19" fillId="0" borderId="119" xfId="0" applyNumberFormat="1" applyFont="1" applyFill="1" applyBorder="1" applyAlignment="1" applyProtection="1">
      <alignment horizontal="center" vertical="center"/>
    </xf>
    <xf numFmtId="0" fontId="70" fillId="0" borderId="63"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19" fillId="0"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0" fontId="19" fillId="0" borderId="54" xfId="0" applyNumberFormat="1"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xf>
    <xf numFmtId="0" fontId="70" fillId="0" borderId="113" xfId="0" applyNumberFormat="1" applyFont="1" applyFill="1" applyBorder="1" applyAlignment="1" applyProtection="1">
      <alignment horizontal="center" vertical="center" wrapText="1"/>
    </xf>
    <xf numFmtId="0" fontId="70" fillId="0" borderId="114" xfId="0" applyNumberFormat="1" applyFont="1" applyFill="1" applyBorder="1" applyAlignment="1" applyProtection="1">
      <alignment horizontal="center" vertical="center" wrapText="1"/>
    </xf>
    <xf numFmtId="167" fontId="19" fillId="0" borderId="124" xfId="0" applyNumberFormat="1" applyFont="1" applyFill="1" applyBorder="1" applyAlignment="1" applyProtection="1">
      <alignment horizontal="center" vertical="center" wrapText="1"/>
    </xf>
    <xf numFmtId="167" fontId="19" fillId="0" borderId="107" xfId="0" applyNumberFormat="1" applyFont="1" applyFill="1" applyBorder="1" applyAlignment="1" applyProtection="1">
      <alignment horizontal="center" vertical="center" wrapText="1"/>
    </xf>
    <xf numFmtId="167" fontId="19" fillId="0" borderId="108" xfId="0" applyNumberFormat="1" applyFont="1" applyFill="1" applyBorder="1" applyAlignment="1" applyProtection="1">
      <alignment horizontal="center" vertical="center" wrapText="1"/>
    </xf>
    <xf numFmtId="167" fontId="19" fillId="0" borderId="82" xfId="0"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horizontal="center" vertical="center" wrapText="1"/>
    </xf>
    <xf numFmtId="167" fontId="19" fillId="0" borderId="81"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xf>
    <xf numFmtId="0" fontId="70" fillId="0" borderId="111"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xf>
    <xf numFmtId="0" fontId="19" fillId="0" borderId="107" xfId="0" applyNumberFormat="1" applyFont="1" applyFill="1" applyBorder="1" applyAlignment="1" applyProtection="1">
      <alignment horizontal="center" vertical="center"/>
    </xf>
    <xf numFmtId="0" fontId="19" fillId="0" borderId="108" xfId="0" applyNumberFormat="1" applyFont="1" applyFill="1" applyBorder="1" applyAlignment="1" applyProtection="1">
      <alignment horizontal="center" vertical="center"/>
    </xf>
    <xf numFmtId="0" fontId="70" fillId="41" borderId="40" xfId="0" applyNumberFormat="1" applyFont="1" applyFill="1" applyBorder="1" applyAlignment="1" applyProtection="1">
      <alignment horizontal="center" vertical="center" wrapText="1"/>
    </xf>
    <xf numFmtId="0" fontId="70" fillId="41" borderId="116" xfId="0" applyNumberFormat="1" applyFont="1" applyFill="1" applyBorder="1" applyAlignment="1" applyProtection="1">
      <alignment horizontal="center" vertical="center" wrapText="1"/>
    </xf>
    <xf numFmtId="0" fontId="70" fillId="41" borderId="59"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xf>
    <xf numFmtId="0" fontId="36" fillId="0" borderId="53" xfId="0" applyNumberFormat="1" applyFont="1" applyFill="1" applyBorder="1" applyAlignment="1" applyProtection="1">
      <alignment horizontal="center" vertical="center" wrapText="1"/>
    </xf>
    <xf numFmtId="0" fontId="36" fillId="0" borderId="54" xfId="0" applyNumberFormat="1" applyFont="1" applyFill="1" applyBorder="1" applyAlignment="1" applyProtection="1">
      <alignment horizontal="center" vertical="center" wrapText="1"/>
    </xf>
    <xf numFmtId="2" fontId="19" fillId="0" borderId="112" xfId="0" applyNumberFormat="1" applyFont="1" applyFill="1" applyBorder="1" applyAlignment="1" applyProtection="1">
      <alignment horizontal="center" vertical="center" wrapText="1"/>
    </xf>
    <xf numFmtId="2" fontId="19" fillId="0" borderId="111" xfId="0" applyNumberFormat="1" applyFont="1" applyFill="1" applyBorder="1" applyAlignment="1" applyProtection="1">
      <alignment horizontal="center" vertical="center" wrapText="1"/>
    </xf>
    <xf numFmtId="2" fontId="70" fillId="41" borderId="116" xfId="0" applyNumberFormat="1" applyFont="1" applyFill="1" applyBorder="1" applyAlignment="1" applyProtection="1">
      <alignment horizontal="center" vertical="center" wrapText="1"/>
    </xf>
    <xf numFmtId="2" fontId="70" fillId="41" borderId="42" xfId="0" applyNumberFormat="1" applyFont="1" applyFill="1" applyBorder="1" applyAlignment="1" applyProtection="1">
      <alignment horizontal="center" vertical="center" wrapText="1"/>
    </xf>
    <xf numFmtId="0" fontId="70" fillId="0" borderId="55"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xf>
    <xf numFmtId="167" fontId="19" fillId="0" borderId="123" xfId="0" applyNumberFormat="1" applyFont="1" applyFill="1" applyBorder="1" applyAlignment="1" applyProtection="1">
      <alignment horizontal="center" vertical="center" wrapText="1"/>
    </xf>
    <xf numFmtId="167" fontId="19" fillId="0" borderId="111"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xf>
    <xf numFmtId="0" fontId="19" fillId="0" borderId="113" xfId="0" applyNumberFormat="1" applyFont="1" applyFill="1" applyBorder="1" applyAlignment="1" applyProtection="1">
      <alignment horizontal="center" vertical="center"/>
    </xf>
    <xf numFmtId="0" fontId="19" fillId="0" borderId="114" xfId="0" applyNumberFormat="1" applyFont="1" applyFill="1" applyBorder="1" applyAlignment="1" applyProtection="1">
      <alignment horizontal="center" vertical="center"/>
    </xf>
    <xf numFmtId="167" fontId="70" fillId="41" borderId="112" xfId="0" applyNumberFormat="1" applyFont="1" applyFill="1" applyBorder="1" applyAlignment="1" applyProtection="1">
      <alignment horizontal="center" vertical="center" wrapText="1"/>
    </xf>
    <xf numFmtId="167" fontId="70" fillId="41" borderId="113" xfId="0" applyNumberFormat="1" applyFont="1" applyFill="1" applyBorder="1" applyAlignment="1" applyProtection="1">
      <alignment horizontal="center" vertical="center" wrapText="1"/>
    </xf>
    <xf numFmtId="167" fontId="70" fillId="41" borderId="114"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167" fontId="70" fillId="41" borderId="40" xfId="0" applyNumberFormat="1" applyFont="1" applyFill="1" applyBorder="1" applyAlignment="1" applyProtection="1">
      <alignment horizontal="center" vertical="center" wrapText="1"/>
    </xf>
    <xf numFmtId="167" fontId="70" fillId="41" borderId="116" xfId="0" applyNumberFormat="1" applyFont="1" applyFill="1" applyBorder="1" applyAlignment="1" applyProtection="1">
      <alignment horizontal="center" vertical="center" wrapText="1"/>
    </xf>
    <xf numFmtId="167" fontId="70" fillId="41" borderId="59" xfId="0" applyNumberFormat="1" applyFont="1" applyFill="1" applyBorder="1" applyAlignment="1" applyProtection="1">
      <alignment horizontal="center" vertical="center" wrapText="1"/>
    </xf>
    <xf numFmtId="2" fontId="19" fillId="0" borderId="25" xfId="0" applyNumberFormat="1" applyFont="1" applyFill="1" applyBorder="1" applyAlignment="1" applyProtection="1">
      <alignment horizontal="center" vertical="center" wrapText="1"/>
    </xf>
    <xf numFmtId="167" fontId="70" fillId="41" borderId="58" xfId="0" applyNumberFormat="1" applyFont="1" applyFill="1" applyBorder="1" applyAlignment="1" applyProtection="1">
      <alignment horizontal="center" vertical="center" wrapText="1"/>
    </xf>
    <xf numFmtId="0" fontId="19" fillId="0" borderId="25" xfId="0" applyNumberFormat="1" applyFont="1" applyFill="1" applyBorder="1" applyAlignment="1" applyProtection="1">
      <alignment horizontal="center" vertical="center" wrapText="1"/>
    </xf>
    <xf numFmtId="0" fontId="102" fillId="41" borderId="112" xfId="0" applyNumberFormat="1" applyFont="1" applyFill="1" applyBorder="1" applyAlignment="1" applyProtection="1">
      <alignment horizontal="center" vertical="center"/>
    </xf>
    <xf numFmtId="0" fontId="102" fillId="41" borderId="113" xfId="0" applyNumberFormat="1" applyFont="1" applyFill="1" applyBorder="1" applyAlignment="1" applyProtection="1">
      <alignment horizontal="center" vertical="center"/>
    </xf>
    <xf numFmtId="0" fontId="102" fillId="41" borderId="114" xfId="0" applyNumberFormat="1" applyFont="1" applyFill="1" applyBorder="1" applyAlignment="1" applyProtection="1">
      <alignment horizontal="center" vertical="center"/>
    </xf>
    <xf numFmtId="0" fontId="19" fillId="0" borderId="82"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81" xfId="0" applyNumberFormat="1" applyFont="1" applyFill="1" applyBorder="1" applyAlignment="1" applyProtection="1">
      <alignment horizontal="center" vertical="center"/>
    </xf>
    <xf numFmtId="167" fontId="19" fillId="0" borderId="130" xfId="0" quotePrefix="1" applyNumberFormat="1" applyFont="1" applyFill="1" applyBorder="1" applyAlignment="1" applyProtection="1">
      <alignment horizontal="center" vertical="center" wrapText="1"/>
    </xf>
    <xf numFmtId="167" fontId="19" fillId="0" borderId="131" xfId="0" quotePrefix="1" applyNumberFormat="1" applyFont="1" applyFill="1" applyBorder="1" applyAlignment="1" applyProtection="1">
      <alignment horizontal="center" vertical="center" wrapText="1"/>
    </xf>
    <xf numFmtId="167" fontId="19" fillId="0" borderId="124" xfId="0" quotePrefix="1" applyNumberFormat="1" applyFont="1" applyFill="1" applyBorder="1" applyAlignment="1" applyProtection="1">
      <alignment horizontal="center" vertical="center" wrapText="1"/>
    </xf>
    <xf numFmtId="167" fontId="19" fillId="0" borderId="107" xfId="0" quotePrefix="1" applyNumberFormat="1" applyFont="1" applyFill="1" applyBorder="1" applyAlignment="1" applyProtection="1">
      <alignment horizontal="center" vertical="center" wrapText="1"/>
    </xf>
    <xf numFmtId="167" fontId="19" fillId="0" borderId="108" xfId="0" quotePrefix="1" applyNumberFormat="1" applyFont="1" applyFill="1" applyBorder="1" applyAlignment="1" applyProtection="1">
      <alignment horizontal="center" vertical="center" wrapText="1"/>
    </xf>
    <xf numFmtId="167" fontId="19" fillId="0" borderId="63"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3" xfId="0" quotePrefix="1" applyNumberFormat="1" applyFont="1" applyFill="1" applyBorder="1" applyAlignment="1" applyProtection="1">
      <alignment horizontal="center" vertical="center" wrapText="1"/>
    </xf>
    <xf numFmtId="167" fontId="19" fillId="0" borderId="122" xfId="0" quotePrefix="1" applyNumberFormat="1" applyFont="1" applyFill="1" applyBorder="1" applyAlignment="1" applyProtection="1">
      <alignment horizontal="center" vertical="center" wrapText="1"/>
    </xf>
    <xf numFmtId="167" fontId="19" fillId="0" borderId="118" xfId="0" quotePrefix="1" applyNumberFormat="1" applyFont="1" applyFill="1" applyBorder="1" applyAlignment="1" applyProtection="1">
      <alignment horizontal="center" vertical="center" wrapText="1"/>
    </xf>
    <xf numFmtId="167" fontId="19" fillId="0" borderId="119" xfId="0" quotePrefix="1" applyNumberFormat="1" applyFont="1" applyFill="1" applyBorder="1" applyAlignment="1" applyProtection="1">
      <alignment horizontal="center" vertical="center" wrapText="1"/>
    </xf>
    <xf numFmtId="167" fontId="19" fillId="0" borderId="63"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167" fontId="19" fillId="0" borderId="122" xfId="0" applyNumberFormat="1" applyFont="1" applyFill="1" applyBorder="1" applyAlignment="1" applyProtection="1">
      <alignment horizontal="center" vertical="center" wrapText="1"/>
    </xf>
    <xf numFmtId="167" fontId="19" fillId="0" borderId="118" xfId="0" applyNumberFormat="1" applyFont="1" applyFill="1" applyBorder="1" applyAlignment="1" applyProtection="1">
      <alignment horizontal="center" vertical="center" wrapText="1"/>
    </xf>
    <xf numFmtId="167" fontId="19" fillId="0" borderId="119" xfId="0" applyNumberFormat="1" applyFont="1" applyFill="1" applyBorder="1" applyAlignment="1" applyProtection="1">
      <alignment horizontal="center" vertical="center" wrapText="1"/>
    </xf>
    <xf numFmtId="167" fontId="70" fillId="41" borderId="74" xfId="0" applyNumberFormat="1" applyFont="1" applyFill="1" applyBorder="1" applyAlignment="1" applyProtection="1">
      <alignment horizontal="right" vertical="center" wrapText="1"/>
    </xf>
    <xf numFmtId="167" fontId="70" fillId="41" borderId="116" xfId="0" applyNumberFormat="1" applyFont="1" applyFill="1" applyBorder="1" applyAlignment="1" applyProtection="1">
      <alignment horizontal="right" vertical="center" wrapText="1"/>
    </xf>
    <xf numFmtId="167" fontId="70" fillId="41" borderId="42" xfId="0" applyNumberFormat="1" applyFont="1" applyFill="1" applyBorder="1" applyAlignment="1" applyProtection="1">
      <alignment horizontal="right" vertical="center" wrapText="1"/>
    </xf>
    <xf numFmtId="0" fontId="70" fillId="0" borderId="130"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xf>
    <xf numFmtId="0" fontId="70" fillId="0" borderId="80" xfId="0" applyNumberFormat="1" applyFont="1" applyFill="1" applyBorder="1" applyAlignment="1" applyProtection="1">
      <alignment horizontal="center" vertical="center" wrapText="1"/>
    </xf>
    <xf numFmtId="0" fontId="70" fillId="0" borderId="4" xfId="0" applyNumberFormat="1" applyFont="1" applyFill="1" applyBorder="1" applyAlignment="1" applyProtection="1">
      <alignment horizontal="center" vertical="center" wrapText="1"/>
    </xf>
    <xf numFmtId="0" fontId="70" fillId="0" borderId="112" xfId="0" applyNumberFormat="1" applyFont="1" applyFill="1" applyBorder="1" applyAlignment="1" applyProtection="1">
      <alignment horizontal="right" vertical="center" wrapText="1"/>
    </xf>
    <xf numFmtId="0" fontId="70" fillId="0" borderId="113" xfId="0" applyNumberFormat="1" applyFont="1" applyFill="1" applyBorder="1" applyAlignment="1" applyProtection="1">
      <alignment horizontal="right" vertical="center" wrapText="1"/>
    </xf>
    <xf numFmtId="0" fontId="70" fillId="0" borderId="111" xfId="0" applyNumberFormat="1" applyFont="1" applyFill="1" applyBorder="1" applyAlignment="1" applyProtection="1">
      <alignment horizontal="right" vertical="center" wrapText="1"/>
    </xf>
    <xf numFmtId="167" fontId="70" fillId="41" borderId="112" xfId="0" applyNumberFormat="1" applyFont="1" applyFill="1" applyBorder="1" applyAlignment="1" applyProtection="1">
      <alignment horizontal="right" vertical="center" wrapText="1"/>
    </xf>
    <xf numFmtId="167" fontId="70" fillId="41" borderId="113" xfId="0" applyNumberFormat="1" applyFont="1" applyFill="1" applyBorder="1" applyAlignment="1" applyProtection="1">
      <alignment horizontal="right" vertical="center" wrapText="1"/>
    </xf>
    <xf numFmtId="167" fontId="70" fillId="41" borderId="111" xfId="0" applyNumberFormat="1" applyFont="1" applyFill="1" applyBorder="1" applyAlignment="1" applyProtection="1">
      <alignment horizontal="right" vertical="center" wrapText="1"/>
    </xf>
    <xf numFmtId="0" fontId="70" fillId="41" borderId="123" xfId="0" applyNumberFormat="1" applyFont="1" applyFill="1" applyBorder="1" applyAlignment="1" applyProtection="1">
      <alignment horizontal="left" vertical="center" wrapText="1"/>
    </xf>
    <xf numFmtId="0" fontId="70" fillId="41" borderId="113" xfId="0" applyNumberFormat="1" applyFont="1" applyFill="1" applyBorder="1" applyAlignment="1" applyProtection="1">
      <alignment horizontal="left" vertical="center" wrapText="1"/>
    </xf>
    <xf numFmtId="0" fontId="70" fillId="41" borderId="114" xfId="0" applyNumberFormat="1" applyFont="1" applyFill="1" applyBorder="1" applyAlignment="1" applyProtection="1">
      <alignment horizontal="left" vertical="center" wrapText="1"/>
    </xf>
    <xf numFmtId="0" fontId="105" fillId="41" borderId="123" xfId="0" applyNumberFormat="1" applyFont="1" applyFill="1" applyBorder="1" applyAlignment="1" applyProtection="1">
      <alignment horizontal="center" vertical="center" wrapText="1"/>
    </xf>
    <xf numFmtId="0" fontId="105" fillId="41" borderId="113" xfId="0" applyNumberFormat="1" applyFont="1" applyFill="1" applyBorder="1" applyAlignment="1" applyProtection="1">
      <alignment horizontal="center" vertical="center" wrapText="1"/>
    </xf>
    <xf numFmtId="0" fontId="105" fillId="41" borderId="114" xfId="0" applyNumberFormat="1" applyFont="1" applyFill="1" applyBorder="1" applyAlignment="1" applyProtection="1">
      <alignment horizontal="center" vertical="center" wrapText="1"/>
    </xf>
    <xf numFmtId="0" fontId="97" fillId="0" borderId="124" xfId="0" applyNumberFormat="1" applyFont="1" applyFill="1" applyBorder="1" applyAlignment="1" applyProtection="1">
      <alignment horizontal="center" vertical="center" wrapText="1"/>
    </xf>
    <xf numFmtId="0" fontId="97" fillId="0" borderId="108" xfId="0" applyNumberFormat="1" applyFont="1" applyFill="1" applyBorder="1" applyAlignment="1" applyProtection="1">
      <alignment horizontal="center" vertical="center" wrapText="1"/>
    </xf>
    <xf numFmtId="0" fontId="97" fillId="0" borderId="63" xfId="0" applyNumberFormat="1" applyFont="1" applyFill="1" applyBorder="1" applyAlignment="1" applyProtection="1">
      <alignment horizontal="center" vertical="center" wrapText="1"/>
    </xf>
    <xf numFmtId="0" fontId="97" fillId="0" borderId="13" xfId="0" applyNumberFormat="1" applyFont="1" applyFill="1" applyBorder="1" applyAlignment="1" applyProtection="1">
      <alignment horizontal="center" vertical="center" wrapText="1"/>
    </xf>
    <xf numFmtId="0" fontId="97" fillId="0" borderId="122" xfId="0" applyNumberFormat="1" applyFont="1" applyFill="1" applyBorder="1" applyAlignment="1" applyProtection="1">
      <alignment horizontal="center" vertical="center" wrapText="1"/>
    </xf>
    <xf numFmtId="0" fontId="97" fillId="0" borderId="119" xfId="0" applyNumberFormat="1" applyFont="1" applyFill="1" applyBorder="1" applyAlignment="1" applyProtection="1">
      <alignment horizontal="center" vertical="center" wrapText="1"/>
    </xf>
    <xf numFmtId="167" fontId="70" fillId="41" borderId="130" xfId="0" applyNumberFormat="1" applyFont="1" applyFill="1" applyBorder="1" applyAlignment="1" applyProtection="1">
      <alignment horizontal="center" vertical="center" wrapText="1"/>
    </xf>
    <xf numFmtId="167" fontId="70" fillId="41" borderId="107" xfId="0" applyNumberFormat="1" applyFont="1" applyFill="1" applyBorder="1" applyAlignment="1" applyProtection="1">
      <alignment horizontal="center" vertical="center" wrapText="1"/>
    </xf>
    <xf numFmtId="167" fontId="70" fillId="41" borderId="131" xfId="0" applyNumberFormat="1" applyFont="1" applyFill="1" applyBorder="1" applyAlignment="1" applyProtection="1">
      <alignment horizontal="center" vertical="center" wrapText="1"/>
    </xf>
    <xf numFmtId="167" fontId="70" fillId="41" borderId="74" xfId="0" applyNumberFormat="1" applyFont="1" applyFill="1" applyBorder="1" applyAlignment="1" applyProtection="1">
      <alignment horizontal="center" vertical="center" wrapText="1"/>
    </xf>
    <xf numFmtId="167" fontId="70" fillId="41" borderId="42" xfId="0" applyNumberFormat="1" applyFont="1" applyFill="1" applyBorder="1" applyAlignment="1" applyProtection="1">
      <alignment horizontal="center" vertical="center" wrapText="1"/>
    </xf>
    <xf numFmtId="167" fontId="70" fillId="0" borderId="112" xfId="0" applyNumberFormat="1" applyFont="1" applyFill="1" applyBorder="1" applyAlignment="1" applyProtection="1">
      <alignment horizontal="center" vertical="center" wrapText="1"/>
    </xf>
    <xf numFmtId="167" fontId="70" fillId="0" borderId="114" xfId="0" applyNumberFormat="1" applyFont="1" applyFill="1" applyBorder="1" applyAlignment="1" applyProtection="1">
      <alignment horizontal="center" vertical="center" wrapText="1"/>
    </xf>
    <xf numFmtId="167" fontId="70" fillId="41" borderId="74" xfId="0" quotePrefix="1" applyNumberFormat="1" applyFont="1" applyFill="1" applyBorder="1" applyAlignment="1" applyProtection="1">
      <alignment horizontal="right" vertical="center" wrapText="1"/>
    </xf>
    <xf numFmtId="167" fontId="70" fillId="41" borderId="116" xfId="0" quotePrefix="1" applyNumberFormat="1" applyFont="1" applyFill="1" applyBorder="1" applyAlignment="1" applyProtection="1">
      <alignment horizontal="right" vertical="center" wrapText="1"/>
    </xf>
    <xf numFmtId="167" fontId="70" fillId="41" borderId="42" xfId="0" quotePrefix="1" applyNumberFormat="1" applyFont="1" applyFill="1" applyBorder="1" applyAlignment="1" applyProtection="1">
      <alignment horizontal="right" vertical="center" wrapText="1"/>
    </xf>
    <xf numFmtId="167" fontId="19" fillId="0" borderId="12" xfId="0" quotePrefix="1" applyNumberFormat="1" applyFont="1" applyFill="1" applyBorder="1" applyAlignment="1" applyProtection="1">
      <alignment horizontal="center" vertical="center" wrapText="1"/>
    </xf>
    <xf numFmtId="167" fontId="19" fillId="0" borderId="62" xfId="0" quotePrefix="1" applyNumberFormat="1" applyFont="1" applyFill="1" applyBorder="1" applyAlignment="1" applyProtection="1">
      <alignment horizontal="center" vertical="center" wrapText="1"/>
    </xf>
    <xf numFmtId="167" fontId="19" fillId="0" borderId="80"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128" xfId="0" quotePrefix="1" applyNumberFormat="1" applyFont="1" applyFill="1" applyBorder="1" applyAlignment="1" applyProtection="1">
      <alignment horizontal="center" vertical="center" wrapText="1"/>
    </xf>
    <xf numFmtId="167" fontId="19" fillId="0" borderId="60"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128" xfId="0" applyNumberFormat="1" applyFont="1" applyFill="1" applyBorder="1" applyAlignment="1" applyProtection="1">
      <alignment horizontal="center" vertical="center" wrapText="1"/>
    </xf>
    <xf numFmtId="167" fontId="19" fillId="0" borderId="60"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2" fontId="19" fillId="0" borderId="130" xfId="0" applyNumberFormat="1" applyFont="1" applyFill="1" applyBorder="1" applyAlignment="1" applyProtection="1">
      <alignment horizontal="center" vertical="center" wrapText="1"/>
    </xf>
    <xf numFmtId="2" fontId="19" fillId="0" borderId="107" xfId="0" applyNumberFormat="1" applyFont="1" applyFill="1" applyBorder="1" applyAlignment="1" applyProtection="1">
      <alignment horizontal="center" vertical="center" wrapText="1"/>
    </xf>
    <xf numFmtId="2" fontId="19" fillId="0" borderId="108" xfId="0" applyNumberFormat="1" applyFont="1" applyFill="1" applyBorder="1" applyAlignment="1" applyProtection="1">
      <alignment horizontal="center" vertical="center" wrapText="1"/>
    </xf>
    <xf numFmtId="0" fontId="70" fillId="42" borderId="130" xfId="0" applyNumberFormat="1" applyFont="1" applyFill="1" applyBorder="1" applyAlignment="1" applyProtection="1">
      <alignment horizontal="center" vertical="center" wrapText="1"/>
    </xf>
    <xf numFmtId="0" fontId="70" fillId="42" borderId="131" xfId="0" applyNumberFormat="1" applyFont="1" applyFill="1" applyBorder="1" applyAlignment="1" applyProtection="1">
      <alignment horizontal="center" vertical="center" wrapText="1"/>
    </xf>
    <xf numFmtId="0" fontId="70" fillId="42" borderId="12" xfId="0" applyNumberFormat="1" applyFont="1" applyFill="1" applyBorder="1" applyAlignment="1" applyProtection="1">
      <alignment horizontal="center" vertical="center" wrapText="1"/>
    </xf>
    <xf numFmtId="0" fontId="70" fillId="42" borderId="62" xfId="0" applyNumberFormat="1" applyFont="1" applyFill="1" applyBorder="1" applyAlignment="1" applyProtection="1">
      <alignment horizontal="center" vertical="center" wrapText="1"/>
    </xf>
    <xf numFmtId="0" fontId="70" fillId="42" borderId="80" xfId="0" applyNumberFormat="1" applyFont="1" applyFill="1" applyBorder="1" applyAlignment="1" applyProtection="1">
      <alignment horizontal="center" vertical="center" wrapText="1"/>
    </xf>
    <xf numFmtId="0" fontId="70" fillId="42" borderId="4" xfId="0" applyNumberFormat="1" applyFont="1" applyFill="1" applyBorder="1" applyAlignment="1" applyProtection="1">
      <alignment horizontal="center" vertical="center" wrapText="1"/>
    </xf>
    <xf numFmtId="0" fontId="70" fillId="42" borderId="112" xfId="0" applyNumberFormat="1" applyFont="1" applyFill="1" applyBorder="1" applyAlignment="1" applyProtection="1">
      <alignment horizontal="right" vertical="center" wrapText="1"/>
    </xf>
    <xf numFmtId="0" fontId="70" fillId="42" borderId="113" xfId="0" applyNumberFormat="1" applyFont="1" applyFill="1" applyBorder="1" applyAlignment="1" applyProtection="1">
      <alignment horizontal="right" vertical="center" wrapText="1"/>
    </xf>
    <xf numFmtId="0" fontId="70" fillId="42" borderId="111" xfId="0" applyNumberFormat="1" applyFont="1" applyFill="1" applyBorder="1" applyAlignment="1" applyProtection="1">
      <alignment horizontal="right" vertical="center" wrapText="1"/>
    </xf>
    <xf numFmtId="167" fontId="19" fillId="42" borderId="123" xfId="0" applyNumberFormat="1" applyFont="1" applyFill="1" applyBorder="1" applyAlignment="1" applyProtection="1">
      <alignment horizontal="center" vertical="center" wrapText="1"/>
    </xf>
    <xf numFmtId="167" fontId="19" fillId="42" borderId="113" xfId="0" applyNumberFormat="1" applyFont="1" applyFill="1" applyBorder="1" applyAlignment="1" applyProtection="1">
      <alignment horizontal="center" vertical="center" wrapText="1"/>
    </xf>
    <xf numFmtId="167" fontId="19" fillId="42" borderId="114" xfId="0" applyNumberFormat="1" applyFont="1" applyFill="1" applyBorder="1" applyAlignment="1" applyProtection="1">
      <alignment horizontal="center" vertical="center" wrapText="1"/>
    </xf>
    <xf numFmtId="0" fontId="97" fillId="35" borderId="43" xfId="0" applyNumberFormat="1" applyFont="1" applyFill="1" applyBorder="1" applyAlignment="1" applyProtection="1">
      <alignment horizontal="left" vertical="center"/>
    </xf>
    <xf numFmtId="0" fontId="97" fillId="35" borderId="56" xfId="0" applyNumberFormat="1" applyFont="1" applyFill="1" applyBorder="1" applyAlignment="1" applyProtection="1">
      <alignment horizontal="left" vertical="center"/>
    </xf>
    <xf numFmtId="0" fontId="19" fillId="42" borderId="80" xfId="0" applyNumberFormat="1" applyFont="1" applyFill="1" applyBorder="1" applyAlignment="1" applyProtection="1">
      <alignment horizontal="center" vertical="center" wrapText="1"/>
    </xf>
    <xf numFmtId="0" fontId="19" fillId="42" borderId="5" xfId="0" applyNumberFormat="1" applyFont="1" applyFill="1" applyBorder="1" applyAlignment="1" applyProtection="1">
      <alignment horizontal="center" vertical="center" wrapText="1"/>
    </xf>
    <xf numFmtId="0" fontId="19" fillId="42" borderId="81" xfId="0" applyNumberFormat="1" applyFont="1" applyFill="1" applyBorder="1" applyAlignment="1" applyProtection="1">
      <alignment horizontal="center" vertical="center" wrapText="1"/>
    </xf>
    <xf numFmtId="2" fontId="19" fillId="42" borderId="130" xfId="0" applyNumberFormat="1" applyFont="1" applyFill="1" applyBorder="1" applyAlignment="1" applyProtection="1">
      <alignment horizontal="center" vertical="center" wrapText="1"/>
    </xf>
    <xf numFmtId="2" fontId="19" fillId="42" borderId="107" xfId="0" applyNumberFormat="1" applyFont="1" applyFill="1" applyBorder="1" applyAlignment="1" applyProtection="1">
      <alignment horizontal="center" vertical="center" wrapText="1"/>
    </xf>
    <xf numFmtId="2" fontId="19" fillId="42" borderId="108"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xf>
    <xf numFmtId="0" fontId="19" fillId="0" borderId="124" xfId="0" applyNumberFormat="1" applyFont="1" applyFill="1" applyBorder="1" applyAlignment="1" applyProtection="1">
      <alignment horizontal="center" vertical="center" wrapText="1"/>
    </xf>
    <xf numFmtId="0" fontId="19" fillId="0" borderId="108" xfId="0" applyNumberFormat="1" applyFont="1" applyFill="1" applyBorder="1" applyAlignment="1" applyProtection="1">
      <alignment horizontal="center" vertical="center" wrapText="1"/>
    </xf>
    <xf numFmtId="0" fontId="19" fillId="0" borderId="63"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0" fontId="19" fillId="0" borderId="82" xfId="0" applyNumberFormat="1" applyFont="1" applyFill="1" applyBorder="1" applyAlignment="1" applyProtection="1">
      <alignment horizontal="center" vertical="center" wrapText="1"/>
    </xf>
    <xf numFmtId="2" fontId="19" fillId="0" borderId="74" xfId="0" applyNumberFormat="1" applyFont="1" applyFill="1" applyBorder="1" applyAlignment="1" applyProtection="1">
      <alignment horizontal="center" vertical="center" wrapText="1"/>
    </xf>
    <xf numFmtId="2" fontId="19" fillId="0" borderId="116" xfId="0" applyNumberFormat="1" applyFont="1" applyFill="1" applyBorder="1" applyAlignment="1" applyProtection="1">
      <alignment horizontal="center" vertical="center" wrapText="1"/>
    </xf>
    <xf numFmtId="2" fontId="19" fillId="0" borderId="59" xfId="0" applyNumberFormat="1" applyFont="1" applyFill="1" applyBorder="1" applyAlignment="1" applyProtection="1">
      <alignment horizontal="center" vertical="center" wrapText="1"/>
    </xf>
    <xf numFmtId="167" fontId="19" fillId="0" borderId="112" xfId="0" applyNumberFormat="1" applyFont="1" applyFill="1" applyBorder="1" applyAlignment="1" applyProtection="1">
      <alignment horizontal="right" vertical="center" wrapText="1"/>
    </xf>
    <xf numFmtId="167" fontId="19" fillId="0" borderId="114" xfId="0" applyNumberFormat="1" applyFont="1" applyFill="1" applyBorder="1" applyAlignment="1" applyProtection="1">
      <alignment horizontal="right" vertical="center" wrapText="1"/>
    </xf>
    <xf numFmtId="0" fontId="70" fillId="0" borderId="0"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xf>
    <xf numFmtId="0" fontId="70" fillId="41" borderId="74" xfId="0" applyNumberFormat="1" applyFont="1" applyFill="1" applyBorder="1" applyAlignment="1" applyProtection="1">
      <alignment horizontal="center" vertical="center" wrapText="1"/>
    </xf>
    <xf numFmtId="0" fontId="70" fillId="41" borderId="42" xfId="0" applyNumberFormat="1" applyFont="1" applyFill="1" applyBorder="1" applyAlignment="1" applyProtection="1">
      <alignment horizontal="center" vertical="center" wrapText="1"/>
    </xf>
    <xf numFmtId="0" fontId="70" fillId="41" borderId="40" xfId="0" applyNumberFormat="1" applyFont="1" applyFill="1" applyBorder="1" applyAlignment="1" applyProtection="1">
      <alignment horizontal="right" vertical="center" wrapText="1"/>
    </xf>
    <xf numFmtId="0" fontId="70" fillId="41" borderId="25" xfId="0" applyNumberFormat="1" applyFont="1" applyFill="1" applyBorder="1" applyAlignment="1" applyProtection="1">
      <alignment horizontal="center" vertical="center" wrapText="1"/>
    </xf>
    <xf numFmtId="167" fontId="65" fillId="0" borderId="0" xfId="0" applyNumberFormat="1" applyFont="1" applyFill="1" applyBorder="1" applyAlignment="1" applyProtection="1">
      <alignment horizontal="left" vertical="center" wrapText="1"/>
    </xf>
    <xf numFmtId="167" fontId="65" fillId="0" borderId="13" xfId="0" applyNumberFormat="1" applyFont="1" applyFill="1" applyBorder="1" applyAlignment="1" applyProtection="1">
      <alignment horizontal="left" vertical="center" wrapText="1"/>
    </xf>
    <xf numFmtId="0" fontId="19" fillId="0" borderId="111" xfId="0" applyNumberFormat="1" applyFont="1" applyFill="1" applyBorder="1" applyAlignment="1" applyProtection="1">
      <alignment horizontal="center" vertical="center" wrapText="1"/>
    </xf>
    <xf numFmtId="167" fontId="19" fillId="0" borderId="131" xfId="0" applyNumberFormat="1" applyFont="1" applyFill="1" applyBorder="1" applyAlignment="1" applyProtection="1">
      <alignment horizontal="center" vertical="center" wrapText="1"/>
    </xf>
    <xf numFmtId="0" fontId="19" fillId="0" borderId="74" xfId="0" applyNumberFormat="1" applyFont="1" applyFill="1" applyBorder="1" applyAlignment="1" applyProtection="1">
      <alignment horizontal="center" vertical="center" wrapText="1"/>
    </xf>
    <xf numFmtId="0" fontId="19" fillId="0" borderId="42"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42" xfId="0" applyNumberFormat="1" applyFont="1" applyFill="1" applyBorder="1" applyAlignment="1" applyProtection="1">
      <alignment horizontal="center" vertical="center" wrapText="1"/>
    </xf>
    <xf numFmtId="167" fontId="19" fillId="0" borderId="116" xfId="0" applyNumberFormat="1" applyFont="1" applyFill="1" applyBorder="1" applyAlignment="1" applyProtection="1">
      <alignment horizontal="center" vertical="center" wrapText="1"/>
    </xf>
    <xf numFmtId="167" fontId="19" fillId="0" borderId="59"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41" borderId="74" xfId="0" applyNumberFormat="1" applyFont="1" applyFill="1" applyBorder="1" applyAlignment="1" applyProtection="1">
      <alignment horizontal="center" vertical="center" wrapText="1"/>
    </xf>
    <xf numFmtId="0" fontId="19" fillId="41" borderId="116" xfId="0" applyNumberFormat="1" applyFont="1" applyFill="1" applyBorder="1" applyAlignment="1" applyProtection="1">
      <alignment horizontal="center" vertical="center" wrapText="1"/>
    </xf>
    <xf numFmtId="0" fontId="19" fillId="0" borderId="132"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19" fillId="0" borderId="128" xfId="0" applyNumberFormat="1" applyFont="1" applyFill="1" applyBorder="1" applyAlignment="1" applyProtection="1">
      <alignment horizontal="center" vertical="center" wrapText="1"/>
    </xf>
    <xf numFmtId="2" fontId="19" fillId="0" borderId="60"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xf>
    <xf numFmtId="0" fontId="19" fillId="0" borderId="60"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xf>
    <xf numFmtId="2" fontId="70" fillId="0" borderId="123" xfId="0" applyNumberFormat="1" applyFont="1" applyFill="1" applyBorder="1" applyAlignment="1" applyProtection="1">
      <alignment horizontal="center" vertical="center" wrapText="1"/>
    </xf>
    <xf numFmtId="2" fontId="70" fillId="0" borderId="113" xfId="0" applyNumberFormat="1" applyFont="1" applyFill="1" applyBorder="1" applyAlignment="1" applyProtection="1">
      <alignment horizontal="center" vertical="center" wrapText="1"/>
    </xf>
    <xf numFmtId="2" fontId="70" fillId="0" borderId="114" xfId="0" applyNumberFormat="1" applyFont="1" applyFill="1" applyBorder="1" applyAlignment="1" applyProtection="1">
      <alignment horizontal="center" vertical="center" wrapText="1"/>
    </xf>
    <xf numFmtId="0" fontId="70" fillId="41" borderId="82" xfId="0" applyNumberFormat="1" applyFont="1" applyFill="1" applyBorder="1" applyAlignment="1" applyProtection="1">
      <alignment horizontal="center" vertical="center" wrapText="1"/>
    </xf>
    <xf numFmtId="0" fontId="70" fillId="41" borderId="4" xfId="0" applyNumberFormat="1" applyFont="1" applyFill="1" applyBorder="1" applyAlignment="1" applyProtection="1">
      <alignment horizontal="center" vertical="center" wrapText="1"/>
    </xf>
    <xf numFmtId="0" fontId="70" fillId="41" borderId="5" xfId="0" applyNumberFormat="1" applyFont="1" applyFill="1" applyBorder="1" applyAlignment="1" applyProtection="1">
      <alignment horizontal="center" vertical="center" wrapText="1"/>
    </xf>
    <xf numFmtId="0" fontId="70" fillId="41" borderId="81"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xf>
    <xf numFmtId="0" fontId="19" fillId="0" borderId="131"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70" fillId="41" borderId="80" xfId="0" applyNumberFormat="1" applyFont="1" applyFill="1" applyBorder="1" applyAlignment="1" applyProtection="1">
      <alignment horizontal="center" vertical="center" wrapText="1"/>
    </xf>
    <xf numFmtId="167" fontId="70" fillId="41" borderId="115" xfId="0" quotePrefix="1" applyNumberFormat="1" applyFont="1" applyFill="1" applyBorder="1" applyAlignment="1" applyProtection="1">
      <alignment horizontal="right" vertical="center" wrapText="1"/>
    </xf>
    <xf numFmtId="167" fontId="70" fillId="41" borderId="117" xfId="0" quotePrefix="1" applyNumberFormat="1" applyFont="1" applyFill="1" applyBorder="1" applyAlignment="1" applyProtection="1">
      <alignment horizontal="right" vertical="center" wrapText="1"/>
    </xf>
    <xf numFmtId="0" fontId="70" fillId="35" borderId="122" xfId="0" applyNumberFormat="1" applyFont="1" applyFill="1" applyBorder="1" applyAlignment="1" applyProtection="1">
      <alignment horizontal="left" vertical="center" wrapText="1"/>
    </xf>
    <xf numFmtId="0" fontId="70" fillId="35" borderId="118" xfId="0" applyNumberFormat="1" applyFont="1" applyFill="1" applyBorder="1" applyAlignment="1" applyProtection="1">
      <alignment horizontal="left" vertical="center" wrapText="1"/>
    </xf>
    <xf numFmtId="0" fontId="70" fillId="35" borderId="119" xfId="0" applyNumberFormat="1" applyFont="1" applyFill="1" applyBorder="1" applyAlignment="1" applyProtection="1">
      <alignment horizontal="left" vertical="center" wrapText="1"/>
    </xf>
    <xf numFmtId="0" fontId="95" fillId="0" borderId="0" xfId="0" applyNumberFormat="1" applyFont="1" applyFill="1" applyBorder="1" applyAlignment="1" applyProtection="1">
      <alignment horizontal="left" vertical="center" wrapText="1"/>
    </xf>
    <xf numFmtId="0" fontId="32" fillId="0" borderId="0" xfId="0" applyNumberFormat="1" applyFont="1" applyFill="1" applyBorder="1" applyAlignment="1" applyProtection="1">
      <alignment horizontal="left" vertical="center"/>
    </xf>
    <xf numFmtId="2" fontId="19" fillId="0" borderId="11" xfId="0" applyNumberFormat="1" applyFont="1" applyFill="1" applyBorder="1" applyAlignment="1" applyProtection="1">
      <alignment horizontal="center" vertical="center" wrapText="1"/>
    </xf>
    <xf numFmtId="2" fontId="19" fillId="0" borderId="33"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xf>
    <xf numFmtId="0" fontId="19" fillId="0" borderId="62" xfId="0" applyNumberFormat="1" applyFont="1" applyFill="1" applyBorder="1" applyAlignment="1" applyProtection="1">
      <alignment horizontal="center" vertical="center"/>
    </xf>
    <xf numFmtId="0" fontId="70" fillId="41" borderId="11" xfId="0" applyNumberFormat="1" applyFont="1" applyFill="1" applyBorder="1" applyAlignment="1" applyProtection="1">
      <alignment horizontal="center" vertical="center"/>
    </xf>
    <xf numFmtId="0" fontId="70" fillId="41" borderId="33" xfId="0" applyNumberFormat="1" applyFont="1" applyFill="1" applyBorder="1" applyAlignment="1" applyProtection="1">
      <alignment horizontal="center" vertical="center"/>
    </xf>
    <xf numFmtId="0" fontId="19" fillId="0" borderId="11" xfId="0" applyNumberFormat="1" applyFont="1" applyFill="1" applyBorder="1" applyAlignment="1" applyProtection="1">
      <alignment horizontal="justify" vertical="center" wrapText="1"/>
    </xf>
    <xf numFmtId="0" fontId="19" fillId="0" borderId="33" xfId="0" applyNumberFormat="1" applyFont="1" applyFill="1" applyBorder="1" applyAlignment="1" applyProtection="1">
      <alignment horizontal="justify" vertical="center" wrapText="1"/>
    </xf>
    <xf numFmtId="167" fontId="19" fillId="0" borderId="6" xfId="0" quotePrefix="1" applyNumberFormat="1" applyFont="1" applyFill="1" applyBorder="1" applyAlignment="1" applyProtection="1">
      <alignment horizontal="center" vertical="center" wrapText="1"/>
    </xf>
    <xf numFmtId="0" fontId="70" fillId="0" borderId="26" xfId="0" applyNumberFormat="1" applyFont="1" applyFill="1" applyBorder="1" applyAlignment="1" applyProtection="1">
      <alignment horizontal="center" vertical="center"/>
    </xf>
    <xf numFmtId="0" fontId="70" fillId="0" borderId="34" xfId="0" applyNumberFormat="1" applyFont="1" applyFill="1" applyBorder="1" applyAlignment="1" applyProtection="1">
      <alignment horizontal="center" vertical="center"/>
    </xf>
    <xf numFmtId="0" fontId="70" fillId="0" borderId="28"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2" fontId="70" fillId="0" borderId="0" xfId="0" applyNumberFormat="1" applyFont="1" applyFill="1" applyBorder="1" applyAlignment="1" applyProtection="1">
      <alignment horizontal="left" vertical="center" wrapText="1"/>
    </xf>
    <xf numFmtId="0" fontId="70" fillId="0" borderId="0" xfId="0" applyNumberFormat="1" applyFont="1" applyFill="1" applyBorder="1" applyAlignment="1" applyProtection="1">
      <alignment horizontal="justify" vertical="center" wrapText="1"/>
    </xf>
    <xf numFmtId="0" fontId="70" fillId="0" borderId="55" xfId="0" applyNumberFormat="1" applyFont="1" applyFill="1" applyBorder="1" applyAlignment="1" applyProtection="1">
      <alignment horizontal="center" vertical="center"/>
    </xf>
    <xf numFmtId="0" fontId="70" fillId="0" borderId="43" xfId="0" applyNumberFormat="1" applyFont="1" applyFill="1" applyBorder="1" applyAlignment="1" applyProtection="1">
      <alignment horizontal="center" vertical="center"/>
    </xf>
    <xf numFmtId="0" fontId="70" fillId="0" borderId="56" xfId="0" applyNumberFormat="1" applyFont="1" applyFill="1" applyBorder="1" applyAlignment="1" applyProtection="1">
      <alignment horizontal="center" vertical="center"/>
    </xf>
    <xf numFmtId="167" fontId="19" fillId="0" borderId="82" xfId="0" quotePrefix="1"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19" fillId="0" borderId="81" xfId="0" quotePrefix="1" applyNumberFormat="1" applyFont="1" applyFill="1" applyBorder="1" applyAlignment="1" applyProtection="1">
      <alignment horizontal="center" vertical="center" wrapText="1"/>
    </xf>
    <xf numFmtId="0" fontId="19" fillId="0" borderId="111" xfId="0" applyNumberFormat="1" applyFont="1" applyFill="1" applyBorder="1" applyAlignment="1" applyProtection="1">
      <alignment horizontal="center" vertical="center"/>
    </xf>
    <xf numFmtId="0" fontId="70" fillId="41" borderId="74" xfId="0" applyNumberFormat="1" applyFont="1" applyFill="1" applyBorder="1" applyAlignment="1" applyProtection="1">
      <alignment horizontal="right" vertical="center"/>
    </xf>
    <xf numFmtId="0" fontId="70" fillId="41" borderId="42" xfId="0" applyNumberFormat="1" applyFont="1" applyFill="1" applyBorder="1" applyAlignment="1" applyProtection="1">
      <alignment horizontal="right" vertical="center"/>
    </xf>
    <xf numFmtId="0" fontId="19" fillId="41" borderId="40" xfId="0" applyNumberFormat="1" applyFont="1" applyFill="1" applyBorder="1" applyAlignment="1" applyProtection="1">
      <alignment horizontal="center" vertical="center" wrapText="1"/>
    </xf>
    <xf numFmtId="0" fontId="19" fillId="41" borderId="58" xfId="0" applyNumberFormat="1" applyFont="1" applyFill="1" applyBorder="1" applyAlignment="1" applyProtection="1">
      <alignment horizontal="center" vertical="center" wrapText="1"/>
    </xf>
    <xf numFmtId="0" fontId="19" fillId="41" borderId="59"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0" fontId="19" fillId="0" borderId="33" xfId="0" applyNumberFormat="1" applyFont="1" applyFill="1" applyBorder="1" applyAlignment="1" applyProtection="1">
      <alignment horizontal="center" vertical="center" wrapText="1"/>
    </xf>
    <xf numFmtId="2" fontId="70" fillId="0" borderId="29" xfId="0" applyNumberFormat="1" applyFont="1" applyFill="1" applyBorder="1" applyAlignment="1" applyProtection="1">
      <alignment horizontal="center" vertical="center" wrapText="1"/>
    </xf>
    <xf numFmtId="2" fontId="70" fillId="0" borderId="107" xfId="0" applyNumberFormat="1" applyFont="1" applyFill="1" applyBorder="1" applyAlignment="1" applyProtection="1">
      <alignment horizontal="center" vertical="center" wrapText="1"/>
    </xf>
    <xf numFmtId="2" fontId="70" fillId="0" borderId="108"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19" fillId="0" borderId="43" xfId="0" applyFont="1" applyBorder="1" applyAlignment="1">
      <alignment horizontal="left" vertical="center" wrapText="1"/>
    </xf>
    <xf numFmtId="0" fontId="19" fillId="0" borderId="56" xfId="0" applyFont="1" applyBorder="1" applyAlignment="1">
      <alignment horizontal="left" vertical="center" wrapText="1"/>
    </xf>
    <xf numFmtId="0" fontId="86" fillId="36" borderId="55" xfId="0" applyFont="1" applyFill="1" applyBorder="1" applyAlignment="1">
      <alignment horizontal="center" vertical="center"/>
    </xf>
    <xf numFmtId="0" fontId="86" fillId="36" borderId="56" xfId="0" applyFont="1" applyFill="1" applyBorder="1" applyAlignment="1">
      <alignment horizontal="center" vertical="center"/>
    </xf>
    <xf numFmtId="0" fontId="84" fillId="37" borderId="55" xfId="0" applyFont="1" applyFill="1" applyBorder="1" applyAlignment="1">
      <alignment horizontal="center" vertical="center" wrapText="1"/>
    </xf>
    <xf numFmtId="0" fontId="84" fillId="37" borderId="43" xfId="0" applyFont="1" applyFill="1" applyBorder="1" applyAlignment="1">
      <alignment horizontal="center" vertical="center" wrapText="1"/>
    </xf>
    <xf numFmtId="0" fontId="84" fillId="37" borderId="56" xfId="0" applyFont="1" applyFill="1" applyBorder="1" applyAlignment="1">
      <alignment horizontal="center" vertical="center" wrapText="1"/>
    </xf>
    <xf numFmtId="0" fontId="85" fillId="38" borderId="55" xfId="0" applyFont="1" applyFill="1" applyBorder="1" applyAlignment="1">
      <alignment horizontal="center" vertical="center"/>
    </xf>
    <xf numFmtId="0" fontId="85" fillId="38" borderId="43" xfId="0" applyFont="1" applyFill="1" applyBorder="1" applyAlignment="1">
      <alignment horizontal="center" vertical="center"/>
    </xf>
    <xf numFmtId="0" fontId="85" fillId="38" borderId="56" xfId="0" applyFont="1" applyFill="1" applyBorder="1" applyAlignment="1">
      <alignment horizontal="center" vertical="center"/>
    </xf>
    <xf numFmtId="0" fontId="85" fillId="38" borderId="120" xfId="0" applyFont="1" applyFill="1" applyBorder="1" applyAlignment="1">
      <alignment horizontal="center" vertical="center"/>
    </xf>
    <xf numFmtId="0" fontId="85" fillId="38" borderId="118" xfId="0" applyFont="1" applyFill="1" applyBorder="1" applyAlignment="1">
      <alignment horizontal="center" vertical="center"/>
    </xf>
    <xf numFmtId="0" fontId="85" fillId="38" borderId="119" xfId="0" applyFont="1" applyFill="1" applyBorder="1" applyAlignment="1">
      <alignment horizontal="center" vertical="center"/>
    </xf>
    <xf numFmtId="0" fontId="19" fillId="0" borderId="37" xfId="0" applyFont="1" applyBorder="1" applyAlignment="1">
      <alignment horizontal="left" vertical="top" wrapText="1"/>
    </xf>
    <xf numFmtId="0" fontId="19" fillId="0" borderId="39" xfId="0" applyFont="1" applyBorder="1" applyAlignment="1">
      <alignment horizontal="left" vertical="top" wrapText="1"/>
    </xf>
    <xf numFmtId="0" fontId="83" fillId="43" borderId="55" xfId="0" applyFont="1" applyFill="1" applyBorder="1" applyAlignment="1">
      <alignment horizontal="center"/>
    </xf>
    <xf numFmtId="0" fontId="83" fillId="43" borderId="43" xfId="0" applyFont="1" applyFill="1" applyBorder="1" applyAlignment="1">
      <alignment horizontal="center"/>
    </xf>
    <xf numFmtId="0" fontId="83" fillId="43" borderId="56" xfId="0" applyFont="1" applyFill="1" applyBorder="1" applyAlignment="1">
      <alignment horizontal="center"/>
    </xf>
    <xf numFmtId="0" fontId="25" fillId="33" borderId="26" xfId="0" applyFont="1" applyFill="1" applyBorder="1" applyAlignment="1">
      <alignment horizontal="center" wrapText="1"/>
    </xf>
    <xf numFmtId="0" fontId="17" fillId="33" borderId="43" xfId="0" applyFont="1" applyFill="1" applyBorder="1"/>
    <xf numFmtId="0" fontId="17" fillId="33" borderId="56" xfId="0" applyFont="1" applyFill="1" applyBorder="1"/>
    <xf numFmtId="0" fontId="25" fillId="33" borderId="55" xfId="0" applyFont="1" applyFill="1" applyBorder="1" applyAlignment="1">
      <alignment horizontal="center" wrapText="1"/>
    </xf>
    <xf numFmtId="0" fontId="25" fillId="33" borderId="43" xfId="0" applyFont="1" applyFill="1" applyBorder="1" applyAlignment="1">
      <alignment horizontal="center" wrapText="1"/>
    </xf>
    <xf numFmtId="0" fontId="25" fillId="33" borderId="56" xfId="0" applyFont="1" applyFill="1" applyBorder="1" applyAlignment="1">
      <alignment horizontal="center" wrapText="1"/>
    </xf>
    <xf numFmtId="0" fontId="27" fillId="0" borderId="92" xfId="0" applyFont="1" applyBorder="1" applyAlignment="1">
      <alignment horizontal="center" vertical="center" wrapText="1"/>
    </xf>
    <xf numFmtId="0" fontId="27" fillId="0" borderId="93" xfId="0" applyFont="1" applyBorder="1" applyAlignment="1">
      <alignment horizontal="center" vertical="center" wrapText="1"/>
    </xf>
    <xf numFmtId="0" fontId="22" fillId="3" borderId="94" xfId="0" applyFont="1" applyFill="1" applyBorder="1" applyAlignment="1">
      <alignment vertical="center" wrapText="1"/>
    </xf>
    <xf numFmtId="0" fontId="22" fillId="3" borderId="95" xfId="0" applyFont="1" applyFill="1" applyBorder="1" applyAlignment="1">
      <alignment vertical="center" wrapText="1"/>
    </xf>
    <xf numFmtId="0" fontId="92" fillId="3" borderId="55" xfId="0" applyFont="1" applyFill="1" applyBorder="1" applyAlignment="1">
      <alignment vertical="center" wrapText="1"/>
    </xf>
    <xf numFmtId="0" fontId="92" fillId="3" borderId="56" xfId="0" applyFont="1" applyFill="1" applyBorder="1" applyAlignment="1">
      <alignment vertical="center" wrapText="1"/>
    </xf>
    <xf numFmtId="0" fontId="19" fillId="0" borderId="38" xfId="0" applyFont="1" applyBorder="1" applyAlignment="1">
      <alignment horizontal="left" vertical="top" wrapText="1"/>
    </xf>
    <xf numFmtId="0" fontId="19" fillId="0" borderId="56" xfId="0" applyFont="1" applyBorder="1" applyAlignment="1">
      <alignment horizontal="left" vertical="top" wrapText="1"/>
    </xf>
    <xf numFmtId="0" fontId="68" fillId="5" borderId="0" xfId="0" applyFont="1" applyFill="1" applyAlignment="1">
      <alignment horizontal="center"/>
    </xf>
    <xf numFmtId="0" fontId="68" fillId="5" borderId="0" xfId="0" applyFont="1" applyFill="1" applyAlignment="1">
      <alignment horizontal="left" vertical="center"/>
    </xf>
    <xf numFmtId="0" fontId="0" fillId="40" borderId="6" xfId="0" applyFont="1" applyFill="1" applyBorder="1" applyAlignment="1">
      <alignment horizontal="left" vertical="center"/>
    </xf>
    <xf numFmtId="0" fontId="0" fillId="40" borderId="6" xfId="0" applyFont="1" applyFill="1" applyBorder="1" applyAlignment="1">
      <alignment horizontal="left" vertical="center" wrapText="1"/>
    </xf>
    <xf numFmtId="176" fontId="0" fillId="40" borderId="6" xfId="0" applyNumberFormat="1" applyFont="1" applyFill="1" applyBorder="1" applyAlignment="1">
      <alignment horizontal="left" vertical="center"/>
    </xf>
    <xf numFmtId="0" fontId="59" fillId="0" borderId="36" xfId="0" applyFont="1" applyBorder="1" applyAlignment="1">
      <alignment horizontal="center" vertical="center"/>
    </xf>
    <xf numFmtId="0" fontId="59" fillId="0" borderId="37" xfId="0" applyFont="1" applyBorder="1" applyAlignment="1">
      <alignment horizontal="center" vertical="center"/>
    </xf>
    <xf numFmtId="0" fontId="59" fillId="0" borderId="21" xfId="0" applyFont="1" applyBorder="1" applyAlignment="1">
      <alignment horizontal="left" vertical="center"/>
    </xf>
    <xf numFmtId="0" fontId="59" fillId="0" borderId="22" xfId="0" applyFont="1" applyBorder="1" applyAlignment="1">
      <alignment horizontal="left" vertical="center"/>
    </xf>
    <xf numFmtId="0" fontId="7" fillId="0" borderId="26" xfId="0" applyFont="1" applyBorder="1" applyAlignment="1">
      <alignment horizontal="center" wrapText="1"/>
    </xf>
    <xf numFmtId="0" fontId="7" fillId="0" borderId="34" xfId="0" applyFont="1" applyBorder="1" applyAlignment="1">
      <alignment horizontal="center" wrapText="1"/>
    </xf>
    <xf numFmtId="0" fontId="7" fillId="0" borderId="28" xfId="0" applyFont="1" applyBorder="1" applyAlignment="1">
      <alignment horizont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25" fillId="0" borderId="12" xfId="0" applyFont="1" applyBorder="1" applyAlignment="1">
      <alignment horizontal="right" vertical="center"/>
    </xf>
    <xf numFmtId="0" fontId="25" fillId="0" borderId="0" xfId="0" applyFont="1" applyBorder="1" applyAlignment="1">
      <alignment horizontal="right" vertical="center"/>
    </xf>
    <xf numFmtId="0" fontId="25" fillId="0" borderId="13" xfId="0" applyFont="1" applyBorder="1" applyAlignment="1">
      <alignment horizontal="right" vertical="center"/>
    </xf>
    <xf numFmtId="0" fontId="57" fillId="0" borderId="26" xfId="0" applyFont="1" applyBorder="1" applyAlignment="1">
      <alignment horizontal="center" vertical="center" wrapText="1"/>
    </xf>
    <xf numFmtId="0" fontId="57" fillId="0" borderId="34" xfId="0" applyFont="1" applyBorder="1" applyAlignment="1">
      <alignment horizontal="center" vertical="center" wrapText="1"/>
    </xf>
    <xf numFmtId="0" fontId="57" fillId="0" borderId="28" xfId="0" applyFont="1" applyBorder="1" applyAlignment="1">
      <alignment horizontal="center"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5">
    <dxf>
      <font>
        <color rgb="FF9C0006"/>
      </font>
      <fill>
        <patternFill>
          <bgColor rgb="FFFFC7CE"/>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2518835</xdr:colOff>
      <xdr:row>0</xdr:row>
      <xdr:rowOff>158750</xdr:rowOff>
    </xdr:from>
    <xdr:to>
      <xdr:col>1</xdr:col>
      <xdr:colOff>3503083</xdr:colOff>
      <xdr:row>4</xdr:row>
      <xdr:rowOff>74084</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757085" y="158750"/>
          <a:ext cx="984248" cy="878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xdr:row>
      <xdr:rowOff>123824</xdr:rowOff>
    </xdr:from>
    <xdr:to>
      <xdr:col>1</xdr:col>
      <xdr:colOff>238125</xdr:colOff>
      <xdr:row>5</xdr:row>
      <xdr:rowOff>152399</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476250" y="371474"/>
          <a:ext cx="981075"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89958</xdr:colOff>
      <xdr:row>0</xdr:row>
      <xdr:rowOff>257175</xdr:rowOff>
    </xdr:from>
    <xdr:to>
      <xdr:col>2</xdr:col>
      <xdr:colOff>179917</xdr:colOff>
      <xdr:row>5</xdr:row>
      <xdr:rowOff>166158</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190625" y="257175"/>
          <a:ext cx="1148292" cy="1094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266700</xdr:colOff>
      <xdr:row>5</xdr:row>
      <xdr:rowOff>114301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190500</xdr:colOff>
      <xdr:row>5</xdr:row>
      <xdr:rowOff>114301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09700" y="126777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838200</xdr:colOff>
      <xdr:row>94</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78117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4</xdr:col>
      <xdr:colOff>238125</xdr:colOff>
      <xdr:row>213</xdr:row>
      <xdr:rowOff>38100</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7064472"/>
          <a:ext cx="4400550" cy="372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341</xdr:row>
      <xdr:rowOff>19050</xdr:rowOff>
    </xdr:from>
    <xdr:to>
      <xdr:col>1</xdr:col>
      <xdr:colOff>933450</xdr:colOff>
      <xdr:row>352</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6895325"/>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138</xdr:row>
      <xdr:rowOff>0</xdr:rowOff>
    </xdr:from>
    <xdr:to>
      <xdr:col>5</xdr:col>
      <xdr:colOff>762000</xdr:colOff>
      <xdr:row>140</xdr:row>
      <xdr:rowOff>342900</xdr:rowOff>
    </xdr:to>
    <xdr:pic>
      <xdr:nvPicPr>
        <xdr:cNvPr id="7"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0" y="30299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3</xdr:col>
      <xdr:colOff>847725</xdr:colOff>
      <xdr:row>1182</xdr:row>
      <xdr:rowOff>180975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57675" y="2552223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4</xdr:col>
      <xdr:colOff>238125</xdr:colOff>
      <xdr:row>1183</xdr:row>
      <xdr:rowOff>76200</xdr:rowOff>
    </xdr:to>
    <xdr:pic>
      <xdr:nvPicPr>
        <xdr:cNvPr id="10"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57675" y="2552223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1163</xdr:row>
      <xdr:rowOff>57150</xdr:rowOff>
    </xdr:from>
    <xdr:to>
      <xdr:col>3</xdr:col>
      <xdr:colOff>828675</xdr:colOff>
      <xdr:row>1169</xdr:row>
      <xdr:rowOff>85725</xdr:rowOff>
    </xdr:to>
    <xdr:pic>
      <xdr:nvPicPr>
        <xdr:cNvPr id="12"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3325" y="25262205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1190</xdr:row>
      <xdr:rowOff>161925</xdr:rowOff>
    </xdr:from>
    <xdr:to>
      <xdr:col>4</xdr:col>
      <xdr:colOff>142875</xdr:colOff>
      <xdr:row>1196</xdr:row>
      <xdr:rowOff>76200</xdr:rowOff>
    </xdr:to>
    <xdr:pic>
      <xdr:nvPicPr>
        <xdr:cNvPr id="14"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71900" y="25792747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7" Type="http://schemas.openxmlformats.org/officeDocument/2006/relationships/drawing" Target="../drawings/drawing4.xm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upperseg.com.br/" TargetMode="External"/><Relationship Id="rId7" Type="http://schemas.openxmlformats.org/officeDocument/2006/relationships/hyperlink" Target="http://www.santil.com.br/" TargetMode="External"/><Relationship Id="rId2" Type="http://schemas.openxmlformats.org/officeDocument/2006/relationships/hyperlink" Target="http://www.upperseg.com.br/" TargetMode="External"/><Relationship Id="rId1" Type="http://schemas.openxmlformats.org/officeDocument/2006/relationships/hyperlink" Target="http://www.celeti.com.br/" TargetMode="External"/><Relationship Id="rId6" Type="http://schemas.openxmlformats.org/officeDocument/2006/relationships/hyperlink" Target="http://www.lojaeletrica.com.br/" TargetMode="External"/><Relationship Id="rId5" Type="http://schemas.openxmlformats.org/officeDocument/2006/relationships/hyperlink" Target="http://www.upperseg.com.br/" TargetMode="External"/><Relationship Id="rId4" Type="http://schemas.openxmlformats.org/officeDocument/2006/relationships/hyperlink" Target="http://www.primetal.com.br/"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A16" zoomScale="90" zoomScaleNormal="90" workbookViewId="0">
      <selection activeCell="B48" sqref="B48"/>
    </sheetView>
  </sheetViews>
  <sheetFormatPr defaultRowHeight="15"/>
  <cols>
    <col min="1" max="1" width="18.5703125" customWidth="1"/>
    <col min="2" max="2" width="60.28515625" customWidth="1"/>
    <col min="3" max="3" width="16.140625" customWidth="1"/>
    <col min="4" max="4" width="10.28515625" customWidth="1"/>
    <col min="5" max="5" width="13.7109375" customWidth="1"/>
    <col min="6" max="6" width="10.5703125" bestFit="1" customWidth="1"/>
    <col min="7" max="7" width="13.5703125" customWidth="1"/>
    <col min="8" max="8" width="10.5703125" customWidth="1"/>
    <col min="9" max="9" width="13.85546875" customWidth="1"/>
    <col min="10" max="10" width="11.85546875" customWidth="1"/>
    <col min="11" max="11" width="13.28515625" customWidth="1"/>
    <col min="12" max="12" width="10.140625" customWidth="1"/>
    <col min="13" max="13" width="11.140625" customWidth="1"/>
  </cols>
  <sheetData>
    <row r="1" spans="1:13" ht="18.75" customHeight="1">
      <c r="A1" s="220"/>
      <c r="B1" s="115"/>
      <c r="C1" s="36"/>
      <c r="D1" s="36"/>
      <c r="E1" s="36"/>
      <c r="F1" s="36"/>
      <c r="G1" s="36"/>
      <c r="H1" s="36"/>
      <c r="I1" s="36"/>
      <c r="J1" s="36"/>
      <c r="K1" s="36"/>
      <c r="L1" s="36"/>
      <c r="M1" s="110"/>
    </row>
    <row r="2" spans="1:13" ht="18" customHeight="1">
      <c r="A2" s="109"/>
      <c r="B2" s="116"/>
      <c r="C2" s="245"/>
      <c r="D2" s="245"/>
      <c r="E2" s="245"/>
      <c r="F2" s="245"/>
      <c r="G2" s="245"/>
      <c r="H2" s="245"/>
      <c r="I2" s="245"/>
      <c r="J2" s="245"/>
      <c r="K2" s="245"/>
      <c r="L2" s="245"/>
      <c r="M2" s="1330"/>
    </row>
    <row r="3" spans="1:13" ht="18" customHeight="1">
      <c r="A3" s="109"/>
      <c r="B3" s="117"/>
      <c r="C3" s="2040" t="s">
        <v>135</v>
      </c>
      <c r="D3" s="2040"/>
      <c r="E3" s="2040"/>
      <c r="F3" s="2040"/>
      <c r="G3" s="2040"/>
      <c r="H3" s="2040"/>
      <c r="I3" s="245"/>
      <c r="J3" s="245"/>
      <c r="K3" s="245"/>
      <c r="L3" s="245"/>
      <c r="M3" s="1330"/>
    </row>
    <row r="4" spans="1:13" ht="20.25" customHeight="1">
      <c r="A4" s="109"/>
      <c r="B4" s="114"/>
      <c r="C4" s="2040" t="s">
        <v>136</v>
      </c>
      <c r="D4" s="2040"/>
      <c r="E4" s="2040"/>
      <c r="F4" s="2040"/>
      <c r="G4" s="2040"/>
      <c r="H4" s="2040"/>
      <c r="I4" s="2040"/>
      <c r="J4" s="112"/>
      <c r="K4" s="112"/>
      <c r="L4" s="112"/>
      <c r="M4" s="111"/>
    </row>
    <row r="5" spans="1:13" ht="18" customHeight="1">
      <c r="A5" s="109"/>
      <c r="B5" s="114"/>
      <c r="C5" s="112"/>
      <c r="D5" s="2041" t="s">
        <v>213</v>
      </c>
      <c r="E5" s="2041"/>
      <c r="F5" s="2041"/>
      <c r="G5" s="2041"/>
      <c r="H5" s="112"/>
      <c r="I5" s="112"/>
      <c r="J5" s="112"/>
      <c r="K5" s="112"/>
      <c r="L5" s="112"/>
      <c r="M5" s="111"/>
    </row>
    <row r="6" spans="1:13" ht="15.75">
      <c r="A6" s="121" t="s">
        <v>0</v>
      </c>
      <c r="B6" s="122" t="str">
        <f>'RESUMO SEM DESONERAÇÃO'!B7:C7</f>
        <v>364778/2019</v>
      </c>
      <c r="C6" s="107"/>
      <c r="D6" s="107"/>
      <c r="E6" s="107"/>
      <c r="F6" s="107"/>
      <c r="G6" s="107"/>
      <c r="H6" s="107"/>
      <c r="I6" s="107"/>
      <c r="J6" s="107"/>
      <c r="K6" s="107"/>
      <c r="L6" s="107"/>
      <c r="M6" s="37"/>
    </row>
    <row r="7" spans="1:13" ht="15.75" customHeight="1">
      <c r="A7" s="120" t="str">
        <f>'RESUMO SEM DESONERAÇÃO'!A8</f>
        <v>OBRA:</v>
      </c>
      <c r="B7" s="2038" t="str">
        <f>'RESUMO SEM DESONERAÇÃO'!B8</f>
        <v>CONSTRUÇÃO DE DIRETORIA DE UNIDADE DESCONCENTRADA DA SEMA - DUDS</v>
      </c>
      <c r="C7" s="2038"/>
      <c r="D7" s="2038"/>
      <c r="E7" s="2038"/>
      <c r="F7" s="2038"/>
      <c r="G7" s="305"/>
      <c r="H7" s="305"/>
      <c r="I7" s="817"/>
      <c r="J7" s="817"/>
      <c r="K7" s="305"/>
      <c r="L7" s="305"/>
      <c r="M7" s="38"/>
    </row>
    <row r="8" spans="1:13" ht="15.75" customHeight="1">
      <c r="A8" s="118" t="str">
        <f>'RESUMO SEM DESONERAÇÃO'!A9</f>
        <v>ENDEREÇO:</v>
      </c>
      <c r="B8" s="2038" t="str">
        <f>'RESUMO SEM DESONERAÇÃO'!B9</f>
        <v>RUA 24 A - JARDIM TANGARA II</v>
      </c>
      <c r="C8" s="2038"/>
      <c r="D8" s="2038"/>
      <c r="E8" s="2038"/>
      <c r="F8" s="2038"/>
      <c r="G8" s="305"/>
      <c r="H8" s="305"/>
      <c r="I8" s="817"/>
      <c r="J8" s="817"/>
      <c r="K8" s="305"/>
      <c r="L8" s="858" t="str">
        <f>'RESUMO SEM DESONERAÇÃO'!D10</f>
        <v>BDI:</v>
      </c>
      <c r="M8" s="38">
        <f>'RESUMO SEM DESONERAÇÃO'!E10</f>
        <v>0.2223</v>
      </c>
    </row>
    <row r="9" spans="1:13" ht="15.75">
      <c r="A9" s="118" t="str">
        <f>'RESUMO SEM DESONERAÇÃO'!A10</f>
        <v>MUNICÍPIO:</v>
      </c>
      <c r="B9" s="2038" t="str">
        <f>'RESUMO SEM DESONERAÇÃO'!B10</f>
        <v>TANGARÁ DA SERRA - MT</v>
      </c>
      <c r="C9" s="2038"/>
      <c r="D9" s="2038"/>
      <c r="E9" s="2038"/>
      <c r="F9" s="2038"/>
      <c r="G9" s="305"/>
      <c r="H9" s="305"/>
      <c r="I9" s="817"/>
      <c r="J9" s="817"/>
      <c r="K9" s="305"/>
      <c r="L9" s="858" t="str">
        <f>'RESUMO SEM DESONERAÇÃO'!D9</f>
        <v>Prazo:</v>
      </c>
      <c r="M9" s="39" t="str">
        <f>'RESUMO SEM DESONERAÇÃO'!E9</f>
        <v>120 dias</v>
      </c>
    </row>
    <row r="10" spans="1:13" ht="16.5" thickBot="1">
      <c r="A10" s="119" t="str">
        <f>'RESUMO SEM DESONERAÇÃO'!A11</f>
        <v>ASSUNTO:</v>
      </c>
      <c r="B10" s="2039" t="str">
        <f>'RESUMO SEM DESONERAÇÃO'!B11</f>
        <v xml:space="preserve">CONSTRUÇÃO </v>
      </c>
      <c r="C10" s="2039"/>
      <c r="D10" s="2039"/>
      <c r="E10" s="2039"/>
      <c r="F10" s="2039"/>
      <c r="G10" s="306"/>
      <c r="H10" s="306"/>
      <c r="I10" s="818"/>
      <c r="J10" s="818"/>
      <c r="K10" s="306"/>
      <c r="L10" s="306"/>
      <c r="M10" s="108"/>
    </row>
    <row r="11" spans="1:13" ht="5.25" customHeight="1" thickBot="1">
      <c r="A11" s="314"/>
      <c r="B11" s="3"/>
      <c r="C11" s="3"/>
      <c r="D11" s="3"/>
      <c r="E11" s="3"/>
      <c r="F11" s="9"/>
      <c r="G11" s="9"/>
      <c r="H11" s="9"/>
      <c r="I11" s="9"/>
      <c r="J11" s="9"/>
      <c r="K11" s="9"/>
      <c r="L11" s="9"/>
      <c r="M11" s="315"/>
    </row>
    <row r="12" spans="1:13" ht="16.5" thickBot="1">
      <c r="A12" s="2023" t="s">
        <v>34</v>
      </c>
      <c r="B12" s="2024"/>
      <c r="C12" s="2024"/>
      <c r="D12" s="2024"/>
      <c r="E12" s="2024"/>
      <c r="F12" s="2024"/>
      <c r="G12" s="2024"/>
      <c r="H12" s="2024"/>
      <c r="I12" s="2024"/>
      <c r="J12" s="2024"/>
      <c r="K12" s="2024"/>
      <c r="L12" s="2024"/>
      <c r="M12" s="2025"/>
    </row>
    <row r="13" spans="1:13" ht="15.75">
      <c r="A13" s="2026" t="s">
        <v>29</v>
      </c>
      <c r="B13" s="2029" t="s">
        <v>35</v>
      </c>
      <c r="C13" s="2029" t="s">
        <v>66</v>
      </c>
      <c r="D13" s="2029"/>
      <c r="E13" s="2032" t="s">
        <v>65</v>
      </c>
      <c r="F13" s="2033"/>
      <c r="G13" s="2033"/>
      <c r="H13" s="2033"/>
      <c r="I13" s="2033"/>
      <c r="J13" s="2033"/>
      <c r="K13" s="2033"/>
      <c r="L13" s="2033"/>
      <c r="M13" s="2034"/>
    </row>
    <row r="14" spans="1:13" ht="15.75">
      <c r="A14" s="2027"/>
      <c r="B14" s="2030"/>
      <c r="C14" s="2030"/>
      <c r="D14" s="2030"/>
      <c r="E14" s="2021" t="s">
        <v>36</v>
      </c>
      <c r="F14" s="2021"/>
      <c r="G14" s="2021" t="s">
        <v>37</v>
      </c>
      <c r="H14" s="2021"/>
      <c r="I14" s="2021" t="s">
        <v>134</v>
      </c>
      <c r="J14" s="2021"/>
      <c r="K14" s="2021" t="s">
        <v>1810</v>
      </c>
      <c r="L14" s="2021"/>
      <c r="M14" s="10" t="s">
        <v>38</v>
      </c>
    </row>
    <row r="15" spans="1:13" ht="15.75" thickBot="1">
      <c r="A15" s="2028"/>
      <c r="B15" s="2031"/>
      <c r="C15" s="11" t="s">
        <v>39</v>
      </c>
      <c r="D15" s="12" t="s">
        <v>32</v>
      </c>
      <c r="E15" s="13" t="s">
        <v>39</v>
      </c>
      <c r="F15" s="14" t="s">
        <v>32</v>
      </c>
      <c r="G15" s="13" t="s">
        <v>39</v>
      </c>
      <c r="H15" s="14" t="s">
        <v>32</v>
      </c>
      <c r="I15" s="13" t="s">
        <v>39</v>
      </c>
      <c r="J15" s="14" t="s">
        <v>32</v>
      </c>
      <c r="K15" s="13" t="s">
        <v>39</v>
      </c>
      <c r="L15" s="14" t="s">
        <v>32</v>
      </c>
      <c r="M15" s="15" t="s">
        <v>32</v>
      </c>
    </row>
    <row r="16" spans="1:13" ht="15.75">
      <c r="A16" s="46">
        <f>'RESUMO SEM DESONERAÇÃO'!A15</f>
        <v>1</v>
      </c>
      <c r="B16" s="53" t="str">
        <f>'RESUMO SEM DESONERAÇÃO'!B15:C15</f>
        <v>ADMINISTRAÇÃO LOCAL</v>
      </c>
      <c r="C16" s="54">
        <f>'RESUMO SEM DESONERAÇÃO'!D15</f>
        <v>27138.97</v>
      </c>
      <c r="D16" s="28">
        <f t="shared" ref="D16:D38" si="0">100*C16/C$39</f>
        <v>1.8204713914606907</v>
      </c>
      <c r="E16" s="31">
        <f>F16*C16</f>
        <v>5427.7940000000008</v>
      </c>
      <c r="F16" s="50">
        <v>0.2</v>
      </c>
      <c r="G16" s="31">
        <f>H16*C16</f>
        <v>5427.7940000000008</v>
      </c>
      <c r="H16" s="50">
        <v>0.2</v>
      </c>
      <c r="I16" s="31">
        <f>J16*C16</f>
        <v>8141.6909999999998</v>
      </c>
      <c r="J16" s="50">
        <v>0.3</v>
      </c>
      <c r="K16" s="31">
        <f>L16*C16</f>
        <v>8141.6909999999998</v>
      </c>
      <c r="L16" s="50">
        <v>0.3</v>
      </c>
      <c r="M16" s="128">
        <f>+F16+H16+J16+L16</f>
        <v>1</v>
      </c>
    </row>
    <row r="17" spans="1:19" ht="15.75">
      <c r="A17" s="46">
        <f>'RESUMO SEM DESONERAÇÃO'!A16</f>
        <v>2</v>
      </c>
      <c r="B17" s="53" t="str">
        <f>'RESUMO SEM DESONERAÇÃO'!B16:C16</f>
        <v>SERVIÇO PRELIMINARES</v>
      </c>
      <c r="C17" s="54">
        <f>'RESUMO SEM DESONERAÇÃO'!D16</f>
        <v>164314.85</v>
      </c>
      <c r="D17" s="28">
        <f t="shared" si="0"/>
        <v>11.02217525636215</v>
      </c>
      <c r="E17" s="1329">
        <f>F17*C17</f>
        <v>164314.85</v>
      </c>
      <c r="F17" s="50">
        <v>1</v>
      </c>
      <c r="G17" s="31">
        <f>H17*C17</f>
        <v>0</v>
      </c>
      <c r="H17" s="50"/>
      <c r="I17" s="31">
        <f t="shared" ref="I17:I38" si="1">J17*C17</f>
        <v>0</v>
      </c>
      <c r="J17" s="50"/>
      <c r="K17" s="31">
        <f t="shared" ref="K17:K38" si="2">L17*C17</f>
        <v>0</v>
      </c>
      <c r="L17" s="50"/>
      <c r="M17" s="128">
        <f t="shared" ref="M17:M38" si="3">+F17+H17+J17+L17</f>
        <v>1</v>
      </c>
    </row>
    <row r="18" spans="1:19" ht="15.75">
      <c r="A18" s="46">
        <f>'RESUMO SEM DESONERAÇÃO'!A17</f>
        <v>3</v>
      </c>
      <c r="B18" s="4" t="str">
        <f>'RESUMO SEM DESONERAÇÃO'!B17:C17</f>
        <v>MOVIMENTO DE TERRA</v>
      </c>
      <c r="C18" s="48">
        <f>'RESUMO SEM DESONERAÇÃO'!D17</f>
        <v>41982.62</v>
      </c>
      <c r="D18" s="28">
        <f t="shared" si="0"/>
        <v>2.8161775722721027</v>
      </c>
      <c r="E18" s="31">
        <f>F18*C18</f>
        <v>33586.096000000005</v>
      </c>
      <c r="F18" s="49">
        <v>0.8</v>
      </c>
      <c r="G18" s="31">
        <f>H18*C18</f>
        <v>8396.5240000000013</v>
      </c>
      <c r="H18" s="16">
        <v>0.2</v>
      </c>
      <c r="I18" s="31">
        <f t="shared" si="1"/>
        <v>0</v>
      </c>
      <c r="J18" s="16"/>
      <c r="K18" s="31">
        <f t="shared" si="2"/>
        <v>0</v>
      </c>
      <c r="L18" s="49"/>
      <c r="M18" s="128">
        <f t="shared" si="3"/>
        <v>1</v>
      </c>
    </row>
    <row r="19" spans="1:19" ht="15.75">
      <c r="A19" s="46">
        <f>'RESUMO SEM DESONERAÇÃO'!A18</f>
        <v>4</v>
      </c>
      <c r="B19" s="17" t="str">
        <f>'RESUMO SEM DESONERAÇÃO'!B18:C18</f>
        <v>ESTRUTURA EM CONCRETO ARMADO</v>
      </c>
      <c r="C19" s="48">
        <f>'RESUMO SEM DESONERAÇÃO'!D18</f>
        <v>229200.31</v>
      </c>
      <c r="D19" s="28">
        <f t="shared" si="0"/>
        <v>15.374666292380354</v>
      </c>
      <c r="E19" s="31">
        <f t="shared" ref="E19:E38" si="4">F19*C19</f>
        <v>45840.062000000005</v>
      </c>
      <c r="F19" s="16">
        <v>0.2</v>
      </c>
      <c r="G19" s="1329">
        <f>H19*C19</f>
        <v>183360.24800000002</v>
      </c>
      <c r="H19" s="16">
        <v>0.8</v>
      </c>
      <c r="I19" s="31">
        <f t="shared" si="1"/>
        <v>0</v>
      </c>
      <c r="J19" s="16">
        <v>0</v>
      </c>
      <c r="K19" s="31">
        <f t="shared" si="2"/>
        <v>0</v>
      </c>
      <c r="L19" s="16"/>
      <c r="M19" s="128">
        <f t="shared" si="3"/>
        <v>1</v>
      </c>
    </row>
    <row r="20" spans="1:19" ht="15.75">
      <c r="A20" s="46">
        <f>'RESUMO SEM DESONERAÇÃO'!A19</f>
        <v>5</v>
      </c>
      <c r="B20" s="17" t="str">
        <f>'RESUMO SEM DESONERAÇÃO'!B19:C19</f>
        <v>FECHAMENTOS EM ALVENARIA</v>
      </c>
      <c r="C20" s="48">
        <f>'RESUMO SEM DESONERAÇÃO'!D19</f>
        <v>84308.13</v>
      </c>
      <c r="D20" s="28">
        <f t="shared" si="0"/>
        <v>5.6553560703500834</v>
      </c>
      <c r="E20" s="31">
        <f t="shared" si="4"/>
        <v>8430.8130000000001</v>
      </c>
      <c r="F20" s="16">
        <v>0.1</v>
      </c>
      <c r="G20" s="31">
        <f t="shared" ref="G20:G38" si="5">H20*C20</f>
        <v>33723.252</v>
      </c>
      <c r="H20" s="16">
        <v>0.4</v>
      </c>
      <c r="I20" s="31">
        <f t="shared" si="1"/>
        <v>42154.065000000002</v>
      </c>
      <c r="J20" s="16">
        <v>0.5</v>
      </c>
      <c r="K20" s="31">
        <f t="shared" si="2"/>
        <v>0</v>
      </c>
      <c r="L20" s="16"/>
      <c r="M20" s="128">
        <f t="shared" si="3"/>
        <v>1</v>
      </c>
    </row>
    <row r="21" spans="1:19" ht="15.75">
      <c r="A21" s="46">
        <f>'RESUMO SEM DESONERAÇÃO'!A20</f>
        <v>6</v>
      </c>
      <c r="B21" s="17" t="str">
        <f>'RESUMO SEM DESONERAÇÃO'!B20:C20</f>
        <v>REVESTIMENTO DE PISO</v>
      </c>
      <c r="C21" s="48">
        <f>'RESUMO SEM DESONERAÇÃO'!D20</f>
        <v>76970.759999999995</v>
      </c>
      <c r="D21" s="28">
        <f t="shared" si="0"/>
        <v>5.1631681879963338</v>
      </c>
      <c r="E21" s="31">
        <f t="shared" si="4"/>
        <v>0</v>
      </c>
      <c r="F21" s="16"/>
      <c r="G21" s="31">
        <f t="shared" si="5"/>
        <v>0</v>
      </c>
      <c r="H21" s="16"/>
      <c r="I21" s="31">
        <f t="shared" si="1"/>
        <v>46182.455999999998</v>
      </c>
      <c r="J21" s="16">
        <v>0.6</v>
      </c>
      <c r="K21" s="31">
        <f t="shared" si="2"/>
        <v>30788.304</v>
      </c>
      <c r="L21" s="16">
        <v>0.4</v>
      </c>
      <c r="M21" s="128">
        <f t="shared" si="3"/>
        <v>1</v>
      </c>
    </row>
    <row r="22" spans="1:19" ht="15.75">
      <c r="A22" s="46">
        <f>'RESUMO SEM DESONERAÇÃO'!A21</f>
        <v>7</v>
      </c>
      <c r="B22" s="17" t="str">
        <f>'RESUMO SEM DESONERAÇÃO'!B21:C21</f>
        <v>REVESTIMENTO DE PAREDE</v>
      </c>
      <c r="C22" s="48">
        <f>'RESUMO SEM DESONERAÇÃO'!D21</f>
        <v>89402.14</v>
      </c>
      <c r="D22" s="28">
        <f t="shared" si="0"/>
        <v>5.9970602497207333</v>
      </c>
      <c r="E22" s="31">
        <f t="shared" si="4"/>
        <v>0</v>
      </c>
      <c r="F22" s="16"/>
      <c r="G22" s="31">
        <f t="shared" si="5"/>
        <v>26820.642</v>
      </c>
      <c r="H22" s="16">
        <v>0.3</v>
      </c>
      <c r="I22" s="31">
        <f t="shared" si="1"/>
        <v>44701.07</v>
      </c>
      <c r="J22" s="16">
        <v>0.5</v>
      </c>
      <c r="K22" s="31">
        <f t="shared" si="2"/>
        <v>17880.428</v>
      </c>
      <c r="L22" s="16">
        <v>0.2</v>
      </c>
      <c r="M22" s="128">
        <f t="shared" si="3"/>
        <v>1</v>
      </c>
    </row>
    <row r="23" spans="1:19" ht="15.75">
      <c r="A23" s="46">
        <f>'RESUMO SEM DESONERAÇÃO'!A22</f>
        <v>8</v>
      </c>
      <c r="B23" s="17" t="str">
        <f>'RESUMO SEM DESONERAÇÃO'!B22:C22</f>
        <v>ESQUADRIAS</v>
      </c>
      <c r="C23" s="48">
        <f>'RESUMO SEM DESONERAÇÃO'!D22</f>
        <v>79486.679999999993</v>
      </c>
      <c r="D23" s="28">
        <f t="shared" si="0"/>
        <v>5.3319351081559336</v>
      </c>
      <c r="E23" s="31">
        <f t="shared" si="4"/>
        <v>0</v>
      </c>
      <c r="F23" s="16"/>
      <c r="G23" s="31">
        <f t="shared" si="5"/>
        <v>15897.335999999999</v>
      </c>
      <c r="H23" s="16">
        <v>0.2</v>
      </c>
      <c r="I23" s="31">
        <f t="shared" si="1"/>
        <v>47692.007999999994</v>
      </c>
      <c r="J23" s="16">
        <v>0.6</v>
      </c>
      <c r="K23" s="31">
        <f t="shared" si="2"/>
        <v>15897.335999999999</v>
      </c>
      <c r="L23" s="16">
        <v>0.2</v>
      </c>
      <c r="M23" s="128">
        <f t="shared" si="3"/>
        <v>1</v>
      </c>
    </row>
    <row r="24" spans="1:19" ht="18" customHeight="1">
      <c r="A24" s="46">
        <f>'RESUMO SEM DESONERAÇÃO'!A23</f>
        <v>9</v>
      </c>
      <c r="B24" s="17" t="str">
        <f>'RESUMO SEM DESONERAÇÃO'!B23:C23</f>
        <v>PINTURA</v>
      </c>
      <c r="C24" s="48">
        <f>'RESUMO SEM DESONERAÇÃO'!D23</f>
        <v>48670.559999999998</v>
      </c>
      <c r="D24" s="28">
        <f t="shared" si="0"/>
        <v>3.2648019466608731</v>
      </c>
      <c r="E24" s="31">
        <f t="shared" si="4"/>
        <v>0</v>
      </c>
      <c r="F24" s="16"/>
      <c r="G24" s="31">
        <f t="shared" si="5"/>
        <v>0</v>
      </c>
      <c r="H24" s="16">
        <v>0</v>
      </c>
      <c r="I24" s="31">
        <f t="shared" si="1"/>
        <v>9734.1119999999992</v>
      </c>
      <c r="J24" s="16">
        <v>0.2</v>
      </c>
      <c r="K24" s="31">
        <f t="shared" si="2"/>
        <v>38936.447999999997</v>
      </c>
      <c r="L24" s="16">
        <v>0.8</v>
      </c>
      <c r="M24" s="128">
        <f t="shared" si="3"/>
        <v>1</v>
      </c>
    </row>
    <row r="25" spans="1:19" ht="18" customHeight="1">
      <c r="A25" s="46" t="str">
        <f>'RESUMO SEM DESONERAÇÃO'!A24</f>
        <v>10.1</v>
      </c>
      <c r="B25" s="17" t="str">
        <f>'RESUMO SEM DESONERAÇÃO'!B24:C24</f>
        <v>ESTRUTURA METÁLICA</v>
      </c>
      <c r="C25" s="48">
        <f>'RESUMO SEM DESONERAÇÃO'!D24</f>
        <v>56284.57</v>
      </c>
      <c r="D25" s="28">
        <f t="shared" si="0"/>
        <v>3.775546730980087</v>
      </c>
      <c r="E25" s="31">
        <f t="shared" si="4"/>
        <v>0</v>
      </c>
      <c r="F25" s="16"/>
      <c r="G25" s="31">
        <f t="shared" si="5"/>
        <v>22513.828000000001</v>
      </c>
      <c r="H25" s="16">
        <v>0.4</v>
      </c>
      <c r="I25" s="31">
        <f t="shared" si="1"/>
        <v>33770.741999999998</v>
      </c>
      <c r="J25" s="16">
        <v>0.6</v>
      </c>
      <c r="K25" s="31">
        <f t="shared" si="2"/>
        <v>0</v>
      </c>
      <c r="L25" s="16"/>
      <c r="M25" s="128">
        <f t="shared" si="3"/>
        <v>1</v>
      </c>
    </row>
    <row r="26" spans="1:19" ht="18" customHeight="1">
      <c r="A26" s="46" t="str">
        <f>'RESUMO SEM DESONERAÇÃO'!A25</f>
        <v>10.2</v>
      </c>
      <c r="B26" s="17" t="str">
        <f>'RESUMO SEM DESONERAÇÃO'!B25:C25</f>
        <v>TELHAMENTO E ACESSÓRIOS</v>
      </c>
      <c r="C26" s="48">
        <f>'RESUMO SEM DESONERAÇÃO'!D25</f>
        <v>68774.55</v>
      </c>
      <c r="D26" s="28">
        <f t="shared" si="0"/>
        <v>4.6133696575655909</v>
      </c>
      <c r="E26" s="31"/>
      <c r="F26" s="16"/>
      <c r="G26" s="31"/>
      <c r="H26" s="16"/>
      <c r="I26" s="31">
        <f t="shared" si="1"/>
        <v>34387.275000000001</v>
      </c>
      <c r="J26" s="16">
        <v>0.5</v>
      </c>
      <c r="K26" s="31">
        <f t="shared" si="2"/>
        <v>34387.275000000001</v>
      </c>
      <c r="L26" s="16">
        <v>0.5</v>
      </c>
      <c r="M26" s="128">
        <f t="shared" si="3"/>
        <v>1</v>
      </c>
    </row>
    <row r="27" spans="1:19" ht="15.75">
      <c r="A27" s="46">
        <f>'RESUMO SEM DESONERAÇÃO'!A26</f>
        <v>11</v>
      </c>
      <c r="B27" s="17" t="str">
        <f>'RESUMO SEM DESONERAÇÃO'!B26:C26</f>
        <v>INSTALAÇÕES ELÉTRICAS</v>
      </c>
      <c r="C27" s="48">
        <f>'RESUMO SEM DESONERAÇÃO'!D26</f>
        <v>38447.19</v>
      </c>
      <c r="D27" s="28">
        <f t="shared" si="0"/>
        <v>2.5790223238779348</v>
      </c>
      <c r="E27" s="31">
        <f t="shared" si="4"/>
        <v>0</v>
      </c>
      <c r="F27" s="16"/>
      <c r="G27" s="31">
        <f t="shared" si="5"/>
        <v>19223.595000000001</v>
      </c>
      <c r="H27" s="16">
        <v>0.5</v>
      </c>
      <c r="I27" s="31">
        <f t="shared" si="1"/>
        <v>19223.595000000001</v>
      </c>
      <c r="J27" s="16">
        <v>0.5</v>
      </c>
      <c r="K27" s="31">
        <f t="shared" si="2"/>
        <v>0</v>
      </c>
      <c r="L27" s="16">
        <v>0</v>
      </c>
      <c r="M27" s="128">
        <f t="shared" si="3"/>
        <v>1</v>
      </c>
    </row>
    <row r="28" spans="1:19" ht="15.75">
      <c r="A28" s="46" t="str">
        <f>'RESUMO SEM DESONERAÇÃO'!A27</f>
        <v>11.2</v>
      </c>
      <c r="B28" s="17" t="str">
        <f>'RESUMO SEM DESONERAÇÃO'!B27:C27</f>
        <v xml:space="preserve">CABEAMENTO ESTRUTURADO </v>
      </c>
      <c r="C28" s="48">
        <f>'RESUMO SEM DESONERAÇÃO'!D27</f>
        <v>21186.02</v>
      </c>
      <c r="D28" s="28">
        <f t="shared" si="0"/>
        <v>1.4211498560525335</v>
      </c>
      <c r="E28" s="31">
        <f t="shared" si="4"/>
        <v>0</v>
      </c>
      <c r="F28" s="16"/>
      <c r="G28" s="31">
        <f t="shared" si="5"/>
        <v>6355.8059999999996</v>
      </c>
      <c r="H28" s="16">
        <v>0.3</v>
      </c>
      <c r="I28" s="31">
        <f t="shared" si="1"/>
        <v>14830.214</v>
      </c>
      <c r="J28" s="16">
        <v>0.7</v>
      </c>
      <c r="K28" s="31">
        <f t="shared" si="2"/>
        <v>0</v>
      </c>
      <c r="L28" s="16">
        <v>0</v>
      </c>
      <c r="M28" s="128">
        <f t="shared" si="3"/>
        <v>1</v>
      </c>
      <c r="S28" t="s">
        <v>2421</v>
      </c>
    </row>
    <row r="29" spans="1:19" ht="15.75">
      <c r="A29" s="46">
        <f>'RESUMO SEM DESONERAÇÃO'!A28</f>
        <v>12</v>
      </c>
      <c r="B29" s="17" t="str">
        <f>'RESUMO SEM DESONERAÇÃO'!B28:C28</f>
        <v>SPDA</v>
      </c>
      <c r="C29" s="48">
        <f>'RESUMO SEM DESONERAÇÃO'!D28</f>
        <v>25401.62</v>
      </c>
      <c r="D29" s="28">
        <f t="shared" si="0"/>
        <v>1.703930639473632</v>
      </c>
      <c r="E29" s="31">
        <f t="shared" si="4"/>
        <v>0</v>
      </c>
      <c r="F29" s="16"/>
      <c r="G29" s="31">
        <f t="shared" si="5"/>
        <v>7620.485999999999</v>
      </c>
      <c r="H29" s="16">
        <v>0.3</v>
      </c>
      <c r="I29" s="31">
        <f t="shared" si="1"/>
        <v>17781.133999999998</v>
      </c>
      <c r="J29" s="16">
        <v>0.7</v>
      </c>
      <c r="K29" s="31">
        <f t="shared" si="2"/>
        <v>0</v>
      </c>
      <c r="L29" s="16">
        <v>0</v>
      </c>
      <c r="M29" s="128">
        <f t="shared" si="3"/>
        <v>1</v>
      </c>
    </row>
    <row r="30" spans="1:19" ht="15.75">
      <c r="A30" s="46">
        <f>'RESUMO SEM DESONERAÇÃO'!A29</f>
        <v>13</v>
      </c>
      <c r="B30" s="17" t="str">
        <f>'RESUMO SEM DESONERAÇÃO'!B29:C29</f>
        <v>INSTALAÇÕES HIDRÁULICAS</v>
      </c>
      <c r="C30" s="48">
        <f>'RESUMO SEM DESONERAÇÃO'!D29</f>
        <v>14095.63</v>
      </c>
      <c r="D30" s="28">
        <f t="shared" si="0"/>
        <v>0.94552929457584634</v>
      </c>
      <c r="E30" s="31">
        <f t="shared" si="4"/>
        <v>0</v>
      </c>
      <c r="F30" s="16"/>
      <c r="G30" s="31">
        <f t="shared" si="5"/>
        <v>7047.8149999999996</v>
      </c>
      <c r="H30" s="16">
        <v>0.5</v>
      </c>
      <c r="I30" s="31">
        <f t="shared" si="1"/>
        <v>7047.8149999999996</v>
      </c>
      <c r="J30" s="16">
        <v>0.5</v>
      </c>
      <c r="K30" s="31">
        <f t="shared" si="2"/>
        <v>0</v>
      </c>
      <c r="L30" s="16">
        <v>0</v>
      </c>
      <c r="M30" s="128">
        <f t="shared" si="3"/>
        <v>1</v>
      </c>
    </row>
    <row r="31" spans="1:19" ht="15.75">
      <c r="A31" s="859">
        <f>'RESUMO SEM DESONERAÇÃO'!A30</f>
        <v>14</v>
      </c>
      <c r="B31" s="17" t="str">
        <f>'RESUMO SEM DESONERAÇÃO'!B30:C30</f>
        <v>APARELHOS E METAIS</v>
      </c>
      <c r="C31" s="48">
        <f>'RESUMO SEM DESONERAÇÃO'!D30</f>
        <v>8241.1200000000008</v>
      </c>
      <c r="D31" s="28">
        <f t="shared" si="0"/>
        <v>0.5528110754975053</v>
      </c>
      <c r="E31" s="31">
        <f t="shared" si="4"/>
        <v>0</v>
      </c>
      <c r="F31" s="16"/>
      <c r="G31" s="31">
        <f t="shared" si="5"/>
        <v>1648.2240000000002</v>
      </c>
      <c r="H31" s="16">
        <v>0.2</v>
      </c>
      <c r="I31" s="31">
        <f t="shared" si="1"/>
        <v>6592.8960000000006</v>
      </c>
      <c r="J31" s="16">
        <v>0.8</v>
      </c>
      <c r="K31" s="31">
        <f t="shared" si="2"/>
        <v>0</v>
      </c>
      <c r="L31" s="16"/>
      <c r="M31" s="128">
        <f t="shared" si="3"/>
        <v>1</v>
      </c>
      <c r="S31" t="s">
        <v>43</v>
      </c>
    </row>
    <row r="32" spans="1:19" ht="15.75">
      <c r="A32" s="46" t="str">
        <f>'RESUMO SEM DESONERAÇÃO'!A31</f>
        <v>15.1</v>
      </c>
      <c r="B32" s="17" t="str">
        <f>'RESUMO SEM DESONERAÇÃO'!B31:C31</f>
        <v>SERVIÇOS DE INSTALAÇÕES SANITÁRIAS</v>
      </c>
      <c r="C32" s="48">
        <f>'RESUMO SEM DESONERAÇÃO'!D31</f>
        <v>7875.57</v>
      </c>
      <c r="D32" s="28">
        <f t="shared" si="0"/>
        <v>0.52829012583919255</v>
      </c>
      <c r="E32" s="31">
        <f t="shared" si="4"/>
        <v>0</v>
      </c>
      <c r="F32" s="16"/>
      <c r="G32" s="31">
        <f t="shared" si="5"/>
        <v>3937.7849999999999</v>
      </c>
      <c r="H32" s="16">
        <v>0.5</v>
      </c>
      <c r="I32" s="31">
        <f t="shared" si="1"/>
        <v>3937.7849999999999</v>
      </c>
      <c r="J32" s="16">
        <v>0.5</v>
      </c>
      <c r="K32" s="31">
        <f t="shared" si="2"/>
        <v>0</v>
      </c>
      <c r="L32" s="16">
        <v>0</v>
      </c>
      <c r="M32" s="128">
        <f t="shared" si="3"/>
        <v>1</v>
      </c>
    </row>
    <row r="33" spans="1:16" ht="61.5" customHeight="1">
      <c r="A33" s="46" t="str">
        <f>'RESUMO SEM DESONERAÇÃO'!A32</f>
        <v>15.2.1</v>
      </c>
      <c r="B33" s="17" t="str">
        <f>'RESUMO SEM DESONERAÇÃO'!B32:C32</f>
        <v xml:space="preserve">SUMIDOURO CIRCULAR, EM ALVENARIA COM TIJOLOS CERÂMICOS MACIÇOS, DIMENSÕES INTERNAS: DIAMETRO 2,84 M, ALTURA 3,00 M, ÁREA DE INFILTRAÇÃO: 132,40 M² </v>
      </c>
      <c r="C33" s="48">
        <f>'RESUMO SEM DESONERAÇÃO'!D32</f>
        <v>6282.53</v>
      </c>
      <c r="D33" s="28">
        <f t="shared" si="0"/>
        <v>0.42142963166964453</v>
      </c>
      <c r="E33" s="31">
        <f t="shared" si="4"/>
        <v>0</v>
      </c>
      <c r="F33" s="16"/>
      <c r="G33" s="31">
        <f t="shared" si="5"/>
        <v>0</v>
      </c>
      <c r="H33" s="16"/>
      <c r="I33" s="31">
        <f t="shared" si="1"/>
        <v>6282.53</v>
      </c>
      <c r="J33" s="16">
        <v>1</v>
      </c>
      <c r="K33" s="31">
        <f t="shared" si="2"/>
        <v>0</v>
      </c>
      <c r="L33" s="16"/>
      <c r="M33" s="128">
        <f t="shared" si="3"/>
        <v>1</v>
      </c>
    </row>
    <row r="34" spans="1:16" ht="36" customHeight="1">
      <c r="A34" s="46" t="str">
        <f>'RESUMO SEM DESONERAÇÃO'!A33</f>
        <v>15.2.2</v>
      </c>
      <c r="B34" s="17" t="str">
        <f>'RESUMO SEM DESONERAÇÃO'!B33:C33</f>
        <v>FOSSA SÉPTICA E FILTRO ANAERÓBIO CONJUGADO EM BLOCO DE CONCRETO</v>
      </c>
      <c r="C34" s="48">
        <f>'RESUMO SEM DESONERAÇÃO'!D33</f>
        <v>10011.43</v>
      </c>
      <c r="D34" s="28">
        <f t="shared" si="0"/>
        <v>0.67156277126992303</v>
      </c>
      <c r="E34" s="31">
        <f t="shared" si="4"/>
        <v>0</v>
      </c>
      <c r="F34" s="16"/>
      <c r="G34" s="31">
        <f t="shared" si="5"/>
        <v>0</v>
      </c>
      <c r="H34" s="16">
        <v>0</v>
      </c>
      <c r="I34" s="31">
        <f t="shared" si="1"/>
        <v>8009.1440000000002</v>
      </c>
      <c r="J34" s="16">
        <v>0.8</v>
      </c>
      <c r="K34" s="31">
        <f t="shared" si="2"/>
        <v>2002.2860000000001</v>
      </c>
      <c r="L34" s="16">
        <v>0.2</v>
      </c>
      <c r="M34" s="128">
        <f t="shared" si="3"/>
        <v>1</v>
      </c>
    </row>
    <row r="35" spans="1:16" ht="30">
      <c r="A35" s="46">
        <f>'RESUMO SEM DESONERAÇÃO'!A34</f>
        <v>16</v>
      </c>
      <c r="B35" s="17" t="str">
        <f>'RESUMO SEM DESONERAÇÃO'!B34:C34</f>
        <v xml:space="preserve">BANCADAS, RODABANCADAS, DIVISÓRIAS E REQUADRO EM GRANITO </v>
      </c>
      <c r="C35" s="48">
        <f>'RESUMO SEM DESONERAÇÃO'!D34</f>
        <v>8598.49</v>
      </c>
      <c r="D35" s="28">
        <f t="shared" si="0"/>
        <v>0.57678331398578631</v>
      </c>
      <c r="E35" s="31">
        <f t="shared" si="4"/>
        <v>0</v>
      </c>
      <c r="F35" s="16"/>
      <c r="G35" s="31">
        <f t="shared" si="5"/>
        <v>0</v>
      </c>
      <c r="H35" s="16"/>
      <c r="I35" s="31">
        <f t="shared" si="1"/>
        <v>0</v>
      </c>
      <c r="J35" s="16"/>
      <c r="K35" s="31">
        <f t="shared" si="2"/>
        <v>8598.49</v>
      </c>
      <c r="L35" s="16">
        <v>1</v>
      </c>
      <c r="M35" s="128">
        <f t="shared" si="3"/>
        <v>1</v>
      </c>
    </row>
    <row r="36" spans="1:16" ht="15.75">
      <c r="A36" s="46">
        <f>'RESUMO SEM DESONERAÇÃO'!A35</f>
        <v>17</v>
      </c>
      <c r="B36" s="17" t="str">
        <f>'RESUMO SEM DESONERAÇÃO'!B35:C35</f>
        <v>MURO DE DIVISA E MURETA DO GRADIL</v>
      </c>
      <c r="C36" s="48">
        <f>'RESUMO SEM DESONERAÇÃO'!D35</f>
        <v>265362.34999999998</v>
      </c>
      <c r="D36" s="28">
        <f t="shared" si="0"/>
        <v>17.800401656576458</v>
      </c>
      <c r="E36" s="31">
        <f t="shared" si="4"/>
        <v>0</v>
      </c>
      <c r="F36" s="16"/>
      <c r="G36" s="31">
        <f t="shared" si="5"/>
        <v>79608.704999999987</v>
      </c>
      <c r="H36" s="16">
        <v>0.3</v>
      </c>
      <c r="I36" s="31">
        <f t="shared" si="1"/>
        <v>159217.40999999997</v>
      </c>
      <c r="J36" s="16">
        <v>0.6</v>
      </c>
      <c r="K36" s="31">
        <f t="shared" si="2"/>
        <v>26536.235000000001</v>
      </c>
      <c r="L36" s="16">
        <v>0.1</v>
      </c>
      <c r="M36" s="128">
        <f t="shared" si="3"/>
        <v>0.99999999999999989</v>
      </c>
    </row>
    <row r="37" spans="1:16" ht="15.75">
      <c r="A37" s="46">
        <f>'RESUMO SEM DESONERAÇÃO'!A36</f>
        <v>18</v>
      </c>
      <c r="B37" s="17" t="str">
        <f>'RESUMO SEM DESONERAÇÃO'!B36:C36</f>
        <v>SERVIÇOS CONSTRUTIVOS COMPLEMENTARES</v>
      </c>
      <c r="C37" s="48">
        <f>'RESUMO SEM DESONERAÇÃO'!D36</f>
        <v>117550.56</v>
      </c>
      <c r="D37" s="28">
        <f t="shared" si="0"/>
        <v>7.8852451485883002</v>
      </c>
      <c r="E37" s="31">
        <f t="shared" si="4"/>
        <v>0</v>
      </c>
      <c r="F37" s="16"/>
      <c r="G37" s="31">
        <f t="shared" si="5"/>
        <v>0</v>
      </c>
      <c r="H37" s="16">
        <v>0</v>
      </c>
      <c r="I37" s="31">
        <f t="shared" si="1"/>
        <v>23510.112000000001</v>
      </c>
      <c r="J37" s="16">
        <v>0.2</v>
      </c>
      <c r="K37" s="31">
        <f t="shared" si="2"/>
        <v>94040.448000000004</v>
      </c>
      <c r="L37" s="16">
        <v>0.8</v>
      </c>
      <c r="M37" s="128">
        <f t="shared" si="3"/>
        <v>1</v>
      </c>
    </row>
    <row r="38" spans="1:16" ht="16.5" thickBot="1">
      <c r="A38" s="46">
        <f>'RESUMO SEM DESONERAÇÃO'!A37</f>
        <v>19</v>
      </c>
      <c r="B38" s="17" t="str">
        <f>'RESUMO SEM DESONERAÇÃO'!B37:C37</f>
        <v>LIMPEZA GERAL</v>
      </c>
      <c r="C38" s="48">
        <f>'RESUMO SEM DESONERAÇÃO'!D37</f>
        <v>1179.43</v>
      </c>
      <c r="D38" s="28">
        <f t="shared" si="0"/>
        <v>7.9115698688287814E-2</v>
      </c>
      <c r="E38" s="31">
        <f t="shared" si="4"/>
        <v>0</v>
      </c>
      <c r="F38" s="16"/>
      <c r="G38" s="31">
        <f t="shared" si="5"/>
        <v>0</v>
      </c>
      <c r="H38" s="16"/>
      <c r="I38" s="31">
        <f t="shared" si="1"/>
        <v>0</v>
      </c>
      <c r="J38" s="16"/>
      <c r="K38" s="31">
        <f t="shared" si="2"/>
        <v>1179.43</v>
      </c>
      <c r="L38" s="16">
        <v>1</v>
      </c>
      <c r="M38" s="128">
        <f t="shared" si="3"/>
        <v>1</v>
      </c>
    </row>
    <row r="39" spans="1:16" ht="15.75">
      <c r="A39" s="18"/>
      <c r="B39" s="19" t="s">
        <v>40</v>
      </c>
      <c r="C39" s="30">
        <f>SUM(C16:C38)</f>
        <v>1490766.0800000003</v>
      </c>
      <c r="D39" s="29">
        <f>SUM(D16:D38)</f>
        <v>99.999999999999943</v>
      </c>
      <c r="E39" s="26">
        <f>SUM(E16:E38)</f>
        <v>257599.61499999999</v>
      </c>
      <c r="F39" s="20">
        <f>+E39/$C39</f>
        <v>0.17279680457983049</v>
      </c>
      <c r="G39" s="307">
        <f>SUM(G16:G38)</f>
        <v>421582.03999999992</v>
      </c>
      <c r="H39" s="20">
        <f>+G39/$C39</f>
        <v>0.2827955677660709</v>
      </c>
      <c r="I39" s="307">
        <f>SUM(I16:I38)</f>
        <v>533196.054</v>
      </c>
      <c r="J39" s="20">
        <f>+I39/$C39</f>
        <v>0.35766580763629924</v>
      </c>
      <c r="K39" s="26">
        <f>SUM(K16:K38)</f>
        <v>278388.37099999998</v>
      </c>
      <c r="L39" s="20">
        <f>K39/$C39</f>
        <v>0.18674182001779913</v>
      </c>
      <c r="M39" s="52"/>
    </row>
    <row r="40" spans="1:16" ht="16.5" thickBot="1">
      <c r="A40" s="21"/>
      <c r="B40" s="22" t="s">
        <v>41</v>
      </c>
      <c r="C40" s="23"/>
      <c r="D40" s="24"/>
      <c r="E40" s="27">
        <f>E39</f>
        <v>257599.61499999999</v>
      </c>
      <c r="F40" s="25">
        <f>E40/$C39</f>
        <v>0.17279680457983049</v>
      </c>
      <c r="G40" s="123">
        <f>E40+G39</f>
        <v>679181.65499999991</v>
      </c>
      <c r="H40" s="25">
        <f>G40/$C39</f>
        <v>0.45559237234590133</v>
      </c>
      <c r="I40" s="123">
        <f>G40+I39</f>
        <v>1212377.7089999998</v>
      </c>
      <c r="J40" s="25">
        <f>I40/$C39</f>
        <v>0.81325817998220051</v>
      </c>
      <c r="K40" s="123">
        <f>I40+K39</f>
        <v>1490766.0799999998</v>
      </c>
      <c r="L40" s="25">
        <f>+J40+L39</f>
        <v>0.99999999999999967</v>
      </c>
      <c r="M40" s="35"/>
    </row>
    <row r="41" spans="1:16" ht="6" customHeight="1" thickBot="1">
      <c r="A41" s="129"/>
      <c r="B41" s="45"/>
      <c r="C41" s="45"/>
      <c r="D41" s="45"/>
      <c r="E41" s="45"/>
      <c r="F41" s="45"/>
      <c r="G41" s="45"/>
      <c r="H41" s="45"/>
      <c r="I41" s="45"/>
      <c r="J41" s="45"/>
      <c r="K41" s="45"/>
      <c r="L41" s="45"/>
      <c r="M41" s="130"/>
    </row>
    <row r="42" spans="1:16" ht="49.5" customHeight="1" thickBot="1">
      <c r="A42" s="131"/>
      <c r="B42" s="2022" t="s">
        <v>46</v>
      </c>
      <c r="C42" s="2022"/>
      <c r="D42" s="2035" t="s">
        <v>2422</v>
      </c>
      <c r="E42" s="2036"/>
      <c r="F42" s="2036"/>
      <c r="G42" s="2036"/>
      <c r="H42" s="2036"/>
      <c r="I42" s="2036"/>
      <c r="J42" s="2036"/>
      <c r="K42" s="2036"/>
      <c r="L42" s="2036"/>
      <c r="M42" s="2037"/>
      <c r="N42" s="127"/>
      <c r="O42" s="127"/>
      <c r="P42" s="127"/>
    </row>
  </sheetData>
  <mergeCells count="18">
    <mergeCell ref="B7:F7"/>
    <mergeCell ref="B8:F8"/>
    <mergeCell ref="B10:F10"/>
    <mergeCell ref="B9:F9"/>
    <mergeCell ref="C3:H3"/>
    <mergeCell ref="C4:I4"/>
    <mergeCell ref="D5:G5"/>
    <mergeCell ref="K14:L14"/>
    <mergeCell ref="G14:H14"/>
    <mergeCell ref="B42:C42"/>
    <mergeCell ref="A12:M12"/>
    <mergeCell ref="A13:A15"/>
    <mergeCell ref="B13:B15"/>
    <mergeCell ref="C13:D14"/>
    <mergeCell ref="E13:M13"/>
    <mergeCell ref="E14:F14"/>
    <mergeCell ref="D42:M42"/>
    <mergeCell ref="I14:J14"/>
  </mergeCells>
  <printOptions horizontalCentered="1" verticalCentered="1"/>
  <pageMargins left="0.78740157480314965" right="0.59055118110236227" top="0.98425196850393704" bottom="0.78740157480314965" header="0.31496062992125984" footer="0.31496062992125984"/>
  <pageSetup paperSize="9" scale="60" orientation="landscape" r:id="rId1"/>
  <ignoredErrors>
    <ignoredError sqref="D26:D38 D16:D2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
  <sheetViews>
    <sheetView topLeftCell="A13" workbookViewId="0">
      <selection activeCell="A74" sqref="A74:C74"/>
    </sheetView>
  </sheetViews>
  <sheetFormatPr defaultRowHeight="15"/>
  <cols>
    <col min="1" max="1" width="85.7109375" customWidth="1"/>
    <col min="2" max="2" width="12.140625" customWidth="1"/>
    <col min="3" max="3" width="11.5703125" customWidth="1"/>
  </cols>
  <sheetData>
    <row r="1" spans="1:3" ht="27" thickBot="1">
      <c r="A1" s="2542" t="s">
        <v>1485</v>
      </c>
      <c r="B1" s="2543"/>
      <c r="C1" s="2544"/>
    </row>
    <row r="2" spans="1:3" ht="18" thickBot="1">
      <c r="A2" s="2545" t="s">
        <v>1209</v>
      </c>
      <c r="B2" s="2546"/>
      <c r="C2" s="2547"/>
    </row>
    <row r="3" spans="1:3" ht="18" thickBot="1">
      <c r="A3" s="2540" t="s">
        <v>1210</v>
      </c>
      <c r="B3" s="2541"/>
      <c r="C3" s="655" t="s">
        <v>212</v>
      </c>
    </row>
    <row r="4" spans="1:3">
      <c r="A4" s="656" t="s">
        <v>1211</v>
      </c>
      <c r="B4" s="657">
        <f>11.34+19</f>
        <v>30.34</v>
      </c>
      <c r="C4" s="658" t="s">
        <v>1212</v>
      </c>
    </row>
    <row r="5" spans="1:3" ht="33" customHeight="1">
      <c r="A5" s="659" t="s">
        <v>1213</v>
      </c>
      <c r="B5" s="660">
        <f>(B21/0.15)*0.55</f>
        <v>35.493333333333332</v>
      </c>
      <c r="C5" s="661" t="s">
        <v>1212</v>
      </c>
    </row>
    <row r="6" spans="1:3" ht="30">
      <c r="A6" s="656" t="s">
        <v>1214</v>
      </c>
      <c r="B6" s="657">
        <f>B5-B21</f>
        <v>25.813333333333333</v>
      </c>
      <c r="C6" s="661" t="s">
        <v>1212</v>
      </c>
    </row>
    <row r="7" spans="1:3">
      <c r="A7" s="656" t="s">
        <v>1215</v>
      </c>
      <c r="B7" s="657">
        <f>B13+B21</f>
        <v>40.019999999999996</v>
      </c>
      <c r="C7" s="661" t="s">
        <v>1212</v>
      </c>
    </row>
    <row r="8" spans="1:3">
      <c r="A8" s="659" t="s">
        <v>1216</v>
      </c>
      <c r="B8" s="660">
        <f>2.57*28</f>
        <v>71.959999999999994</v>
      </c>
      <c r="C8" s="661" t="s">
        <v>1217</v>
      </c>
    </row>
    <row r="9" spans="1:3" ht="30">
      <c r="A9" s="659" t="s">
        <v>1218</v>
      </c>
      <c r="B9" s="660">
        <f>B5/0.5</f>
        <v>70.986666666666665</v>
      </c>
      <c r="C9" s="661" t="s">
        <v>1217</v>
      </c>
    </row>
    <row r="10" spans="1:3" ht="15.75" thickBot="1">
      <c r="A10" s="662" t="s">
        <v>1219</v>
      </c>
      <c r="B10" s="663">
        <f>161*(0.4+0.15+0.4)</f>
        <v>152.95000000000002</v>
      </c>
      <c r="C10" s="664" t="s">
        <v>1217</v>
      </c>
    </row>
    <row r="11" spans="1:3" ht="18" thickBot="1">
      <c r="A11" s="2540" t="s">
        <v>1220</v>
      </c>
      <c r="B11" s="2541"/>
      <c r="C11" s="665" t="s">
        <v>212</v>
      </c>
    </row>
    <row r="12" spans="1:3">
      <c r="A12" s="728" t="s">
        <v>1221</v>
      </c>
      <c r="B12" s="657">
        <f>8.88+4.44</f>
        <v>13.32</v>
      </c>
      <c r="C12" s="658" t="s">
        <v>1217</v>
      </c>
    </row>
    <row r="13" spans="1:3">
      <c r="A13" s="666" t="s">
        <v>1222</v>
      </c>
      <c r="B13" s="660">
        <f>11.34+19</f>
        <v>30.34</v>
      </c>
      <c r="C13" s="661" t="s">
        <v>1212</v>
      </c>
    </row>
    <row r="14" spans="1:3">
      <c r="A14" s="666" t="s">
        <v>1223</v>
      </c>
      <c r="B14" s="660">
        <f>B13</f>
        <v>30.34</v>
      </c>
      <c r="C14" s="661" t="s">
        <v>1212</v>
      </c>
    </row>
    <row r="15" spans="1:3">
      <c r="A15" s="666" t="s">
        <v>1224</v>
      </c>
      <c r="B15" s="660">
        <f>33.6+48.2</f>
        <v>81.800000000000011</v>
      </c>
      <c r="C15" s="661" t="s">
        <v>1225</v>
      </c>
    </row>
    <row r="16" spans="1:3">
      <c r="A16" s="666" t="s">
        <v>1226</v>
      </c>
      <c r="B16" s="660">
        <f>127.1+158.2</f>
        <v>285.29999999999995</v>
      </c>
      <c r="C16" s="661" t="s">
        <v>1225</v>
      </c>
    </row>
    <row r="17" spans="1:3">
      <c r="A17" s="666" t="s">
        <v>1227</v>
      </c>
      <c r="B17" s="660">
        <f>4.2</f>
        <v>4.2</v>
      </c>
      <c r="C17" s="667" t="s">
        <v>1225</v>
      </c>
    </row>
    <row r="18" spans="1:3" ht="15.75" thickBot="1">
      <c r="A18" s="668" t="s">
        <v>1228</v>
      </c>
      <c r="B18" s="663">
        <f>45.8+64.9</f>
        <v>110.7</v>
      </c>
      <c r="C18" s="664" t="s">
        <v>1225</v>
      </c>
    </row>
    <row r="19" spans="1:3" ht="18" thickBot="1">
      <c r="A19" s="2540" t="s">
        <v>227</v>
      </c>
      <c r="B19" s="2541"/>
      <c r="C19" s="665" t="s">
        <v>212</v>
      </c>
    </row>
    <row r="20" spans="1:3">
      <c r="A20" s="669" t="s">
        <v>1229</v>
      </c>
      <c r="B20" s="657">
        <f>112.11+41.11</f>
        <v>153.22</v>
      </c>
      <c r="C20" s="658" t="s">
        <v>1217</v>
      </c>
    </row>
    <row r="21" spans="1:3">
      <c r="A21" s="670" t="s">
        <v>1222</v>
      </c>
      <c r="B21" s="660">
        <f>7.08+2.6</f>
        <v>9.68</v>
      </c>
      <c r="C21" s="661" t="s">
        <v>1212</v>
      </c>
    </row>
    <row r="22" spans="1:3">
      <c r="A22" s="670" t="s">
        <v>1223</v>
      </c>
      <c r="B22" s="660">
        <f>B21</f>
        <v>9.68</v>
      </c>
      <c r="C22" s="661" t="s">
        <v>1212</v>
      </c>
    </row>
    <row r="23" spans="1:3">
      <c r="A23" s="670" t="s">
        <v>1224</v>
      </c>
      <c r="B23" s="660">
        <f>74.3+27.5</f>
        <v>101.8</v>
      </c>
      <c r="C23" s="661" t="s">
        <v>1225</v>
      </c>
    </row>
    <row r="24" spans="1:3">
      <c r="A24" s="670" t="s">
        <v>1230</v>
      </c>
      <c r="B24" s="660">
        <f>19.4+13.7</f>
        <v>33.099999999999994</v>
      </c>
      <c r="C24" s="661" t="s">
        <v>1225</v>
      </c>
    </row>
    <row r="25" spans="1:3">
      <c r="A25" s="670" t="s">
        <v>1226</v>
      </c>
      <c r="B25" s="660">
        <f>271.1+97.6</f>
        <v>368.70000000000005</v>
      </c>
      <c r="C25" s="661" t="s">
        <v>1225</v>
      </c>
    </row>
    <row r="26" spans="1:3" ht="15.75" thickBot="1">
      <c r="A26" s="671" t="s">
        <v>1227</v>
      </c>
      <c r="B26" s="663">
        <f>20</f>
        <v>20</v>
      </c>
      <c r="C26" s="664" t="s">
        <v>1225</v>
      </c>
    </row>
    <row r="27" spans="1:3" ht="18" thickBot="1">
      <c r="A27" s="2540" t="s">
        <v>1486</v>
      </c>
      <c r="B27" s="2541"/>
      <c r="C27" s="672" t="s">
        <v>212</v>
      </c>
    </row>
    <row r="28" spans="1:3">
      <c r="A28" s="670" t="s">
        <v>1487</v>
      </c>
      <c r="B28" s="674">
        <v>209</v>
      </c>
      <c r="C28" s="661" t="s">
        <v>1217</v>
      </c>
    </row>
    <row r="29" spans="1:3">
      <c r="A29" s="670" t="s">
        <v>1222</v>
      </c>
      <c r="B29" s="674">
        <v>10.45</v>
      </c>
      <c r="C29" s="661" t="s">
        <v>1212</v>
      </c>
    </row>
    <row r="30" spans="1:3">
      <c r="A30" s="670" t="s">
        <v>1223</v>
      </c>
      <c r="B30" s="674">
        <f>B29</f>
        <v>10.45</v>
      </c>
      <c r="C30" s="661" t="s">
        <v>1212</v>
      </c>
    </row>
    <row r="31" spans="1:3">
      <c r="A31" s="670" t="s">
        <v>1231</v>
      </c>
      <c r="B31" s="674">
        <v>97.83</v>
      </c>
      <c r="C31" s="661" t="s">
        <v>1225</v>
      </c>
    </row>
    <row r="32" spans="1:3">
      <c r="A32" s="670" t="s">
        <v>1232</v>
      </c>
      <c r="B32" s="674">
        <v>160</v>
      </c>
      <c r="C32" s="661" t="s">
        <v>1225</v>
      </c>
    </row>
    <row r="33" spans="1:3">
      <c r="A33" s="670" t="s">
        <v>1230</v>
      </c>
      <c r="B33" s="674">
        <v>73.03</v>
      </c>
      <c r="C33" s="661" t="s">
        <v>1225</v>
      </c>
    </row>
    <row r="34" spans="1:3" ht="15.75" thickBot="1">
      <c r="A34" s="670" t="s">
        <v>1226</v>
      </c>
      <c r="B34" s="674">
        <v>11.8</v>
      </c>
      <c r="C34" s="661" t="s">
        <v>1225</v>
      </c>
    </row>
    <row r="35" spans="1:3" ht="18" thickBot="1">
      <c r="A35" s="2540" t="s">
        <v>1414</v>
      </c>
      <c r="B35" s="2541"/>
      <c r="C35" s="672" t="s">
        <v>212</v>
      </c>
    </row>
    <row r="36" spans="1:3">
      <c r="A36" s="669" t="s">
        <v>1229</v>
      </c>
      <c r="B36" s="673">
        <v>61.4</v>
      </c>
      <c r="C36" s="658" t="s">
        <v>1217</v>
      </c>
    </row>
    <row r="37" spans="1:3">
      <c r="A37" s="670" t="s">
        <v>1222</v>
      </c>
      <c r="B37" s="674">
        <v>11.07</v>
      </c>
      <c r="C37" s="661" t="s">
        <v>1212</v>
      </c>
    </row>
    <row r="38" spans="1:3">
      <c r="A38" s="670" t="s">
        <v>1223</v>
      </c>
      <c r="B38" s="674">
        <f>B37</f>
        <v>11.07</v>
      </c>
      <c r="C38" s="661" t="s">
        <v>1212</v>
      </c>
    </row>
    <row r="39" spans="1:3">
      <c r="A39" s="670" t="s">
        <v>1231</v>
      </c>
      <c r="B39" s="674">
        <v>113.63</v>
      </c>
      <c r="C39" s="661" t="s">
        <v>1225</v>
      </c>
    </row>
    <row r="40" spans="1:3">
      <c r="A40" s="670" t="s">
        <v>1232</v>
      </c>
      <c r="B40" s="674">
        <v>322</v>
      </c>
      <c r="C40" s="661" t="s">
        <v>1225</v>
      </c>
    </row>
    <row r="41" spans="1:3">
      <c r="A41" s="670" t="s">
        <v>1230</v>
      </c>
      <c r="B41" s="674">
        <v>28.07</v>
      </c>
      <c r="C41" s="661" t="s">
        <v>1225</v>
      </c>
    </row>
    <row r="42" spans="1:3">
      <c r="A42" s="670" t="s">
        <v>1226</v>
      </c>
      <c r="B42" s="674">
        <v>103.92</v>
      </c>
      <c r="C42" s="661" t="s">
        <v>1225</v>
      </c>
    </row>
    <row r="43" spans="1:3" ht="15.75" thickBot="1">
      <c r="A43" s="671" t="s">
        <v>1227</v>
      </c>
      <c r="B43" s="675">
        <f>114.3</f>
        <v>114.3</v>
      </c>
      <c r="C43" s="664" t="s">
        <v>1225</v>
      </c>
    </row>
    <row r="44" spans="1:3" ht="18" thickBot="1">
      <c r="A44" s="2540" t="s">
        <v>239</v>
      </c>
      <c r="B44" s="2541"/>
      <c r="C44" s="672" t="s">
        <v>212</v>
      </c>
    </row>
    <row r="45" spans="1:3">
      <c r="A45" s="669" t="s">
        <v>1229</v>
      </c>
      <c r="B45" s="673">
        <f>60.56+64.84+68.17</f>
        <v>193.57</v>
      </c>
      <c r="C45" s="658" t="s">
        <v>1217</v>
      </c>
    </row>
    <row r="46" spans="1:3">
      <c r="A46" s="670" t="s">
        <v>1222</v>
      </c>
      <c r="B46" s="674">
        <f>3.48+3.97+3.94</f>
        <v>11.39</v>
      </c>
      <c r="C46" s="661" t="s">
        <v>1212</v>
      </c>
    </row>
    <row r="47" spans="1:3">
      <c r="A47" s="670" t="s">
        <v>1223</v>
      </c>
      <c r="B47" s="674">
        <f>B46</f>
        <v>11.39</v>
      </c>
      <c r="C47" s="661" t="s">
        <v>1212</v>
      </c>
    </row>
    <row r="48" spans="1:3">
      <c r="A48" s="670" t="s">
        <v>1224</v>
      </c>
      <c r="B48" s="660">
        <f>77.3+82.9+94.7</f>
        <v>254.89999999999998</v>
      </c>
      <c r="C48" s="661" t="s">
        <v>1225</v>
      </c>
    </row>
    <row r="49" spans="1:3">
      <c r="A49" s="670" t="s">
        <v>1226</v>
      </c>
      <c r="B49" s="660">
        <f>161.7+176.4+236</f>
        <v>574.1</v>
      </c>
      <c r="C49" s="667" t="s">
        <v>1225</v>
      </c>
    </row>
    <row r="50" spans="1:3">
      <c r="A50" s="670" t="s">
        <v>1227</v>
      </c>
      <c r="B50" s="660">
        <f>11.1</f>
        <v>11.1</v>
      </c>
      <c r="C50" s="667" t="s">
        <v>1225</v>
      </c>
    </row>
    <row r="51" spans="1:3" ht="15.75" thickBot="1">
      <c r="A51" s="671" t="s">
        <v>1228</v>
      </c>
      <c r="B51" s="663">
        <f>136.6+246.2+45.5</f>
        <v>428.29999999999995</v>
      </c>
      <c r="C51" s="664" t="s">
        <v>1225</v>
      </c>
    </row>
    <row r="52" spans="1:3" ht="18" thickBot="1">
      <c r="A52" s="2540" t="s">
        <v>1233</v>
      </c>
      <c r="B52" s="2541"/>
      <c r="C52" s="665" t="s">
        <v>212</v>
      </c>
    </row>
    <row r="53" spans="1:3">
      <c r="A53" s="669" t="s">
        <v>1229</v>
      </c>
      <c r="B53" s="676">
        <f>104.7+59.93</f>
        <v>164.63</v>
      </c>
      <c r="C53" s="658" t="s">
        <v>1217</v>
      </c>
    </row>
    <row r="54" spans="1:3">
      <c r="A54" s="670" t="s">
        <v>1222</v>
      </c>
      <c r="B54" s="676">
        <f>6.93+3.84</f>
        <v>10.77</v>
      </c>
      <c r="C54" s="661" t="s">
        <v>1212</v>
      </c>
    </row>
    <row r="55" spans="1:3">
      <c r="A55" s="670" t="s">
        <v>1223</v>
      </c>
      <c r="B55" s="676">
        <f>B54</f>
        <v>10.77</v>
      </c>
      <c r="C55" s="661" t="s">
        <v>1212</v>
      </c>
    </row>
    <row r="56" spans="1:3">
      <c r="A56" s="670" t="s">
        <v>1224</v>
      </c>
      <c r="B56" s="676">
        <f>81.4+56.5</f>
        <v>137.9</v>
      </c>
      <c r="C56" s="661" t="s">
        <v>1225</v>
      </c>
    </row>
    <row r="57" spans="1:3">
      <c r="A57" s="670" t="s">
        <v>1232</v>
      </c>
      <c r="B57" s="676">
        <f>84.8+46.7</f>
        <v>131.5</v>
      </c>
      <c r="C57" s="661" t="s">
        <v>1225</v>
      </c>
    </row>
    <row r="58" spans="1:3">
      <c r="A58" s="670" t="s">
        <v>1230</v>
      </c>
      <c r="B58" s="676">
        <f>36.5+18.3</f>
        <v>54.8</v>
      </c>
      <c r="C58" s="661" t="s">
        <v>1225</v>
      </c>
    </row>
    <row r="59" spans="1:3">
      <c r="A59" s="670" t="s">
        <v>1226</v>
      </c>
      <c r="B59" s="676">
        <f>215+114.4</f>
        <v>329.4</v>
      </c>
      <c r="C59" s="661" t="s">
        <v>1225</v>
      </c>
    </row>
    <row r="60" spans="1:3">
      <c r="A60" s="670" t="s">
        <v>1227</v>
      </c>
      <c r="B60" s="729">
        <v>21.5</v>
      </c>
      <c r="C60" s="661" t="s">
        <v>1225</v>
      </c>
    </row>
    <row r="61" spans="1:3">
      <c r="A61" s="670" t="s">
        <v>1228</v>
      </c>
      <c r="B61" s="676">
        <f>30.4+60</f>
        <v>90.4</v>
      </c>
      <c r="C61" s="661" t="s">
        <v>1225</v>
      </c>
    </row>
    <row r="62" spans="1:3" ht="15.75" thickBot="1">
      <c r="A62" s="671" t="s">
        <v>1234</v>
      </c>
      <c r="B62" s="677">
        <v>40.200000000000003</v>
      </c>
      <c r="C62" s="664" t="s">
        <v>1225</v>
      </c>
    </row>
    <row r="63" spans="1:3" ht="18" thickBot="1">
      <c r="A63" s="2540" t="s">
        <v>1235</v>
      </c>
      <c r="B63" s="2541"/>
      <c r="C63" s="665" t="s">
        <v>212</v>
      </c>
    </row>
    <row r="64" spans="1:3">
      <c r="A64" s="669" t="s">
        <v>1229</v>
      </c>
      <c r="B64" s="676">
        <v>32.53</v>
      </c>
      <c r="C64" s="658" t="s">
        <v>1217</v>
      </c>
    </row>
    <row r="65" spans="1:3">
      <c r="A65" s="670" t="s">
        <v>1222</v>
      </c>
      <c r="B65" s="676">
        <v>1.88</v>
      </c>
      <c r="C65" s="661" t="s">
        <v>1212</v>
      </c>
    </row>
    <row r="66" spans="1:3">
      <c r="A66" s="670" t="s">
        <v>1223</v>
      </c>
      <c r="B66" s="676">
        <f>B65</f>
        <v>1.88</v>
      </c>
      <c r="C66" s="661" t="s">
        <v>1212</v>
      </c>
    </row>
    <row r="67" spans="1:3">
      <c r="A67" s="670" t="s">
        <v>1224</v>
      </c>
      <c r="B67" s="676">
        <v>34.1</v>
      </c>
      <c r="C67" s="661" t="s">
        <v>1225</v>
      </c>
    </row>
    <row r="68" spans="1:3" ht="15.75" thickBot="1">
      <c r="A68" s="671" t="s">
        <v>1230</v>
      </c>
      <c r="B68" s="677">
        <v>73.7</v>
      </c>
      <c r="C68" s="664" t="s">
        <v>1225</v>
      </c>
    </row>
    <row r="69" spans="1:3" ht="18" thickBot="1">
      <c r="A69" s="2540" t="s">
        <v>1236</v>
      </c>
      <c r="B69" s="2541"/>
      <c r="C69" s="665" t="s">
        <v>212</v>
      </c>
    </row>
    <row r="70" spans="1:3">
      <c r="A70" s="678" t="s">
        <v>1237</v>
      </c>
      <c r="B70" s="673">
        <v>173.89</v>
      </c>
      <c r="C70" s="658" t="s">
        <v>1225</v>
      </c>
    </row>
    <row r="71" spans="1:3">
      <c r="A71" s="670" t="s">
        <v>1238</v>
      </c>
      <c r="B71" s="674">
        <v>19.53</v>
      </c>
      <c r="C71" s="661" t="s">
        <v>1217</v>
      </c>
    </row>
    <row r="72" spans="1:3">
      <c r="A72" s="666" t="s">
        <v>1239</v>
      </c>
      <c r="B72" s="674">
        <v>5.05</v>
      </c>
      <c r="C72" s="661" t="s">
        <v>1225</v>
      </c>
    </row>
    <row r="73" spans="1:3" ht="15.75" thickBot="1">
      <c r="A73" s="1323" t="s">
        <v>1240</v>
      </c>
      <c r="B73" s="1324">
        <v>11.66</v>
      </c>
      <c r="C73" s="1325" t="s">
        <v>1225</v>
      </c>
    </row>
    <row r="74" spans="1:3" ht="39" thickBot="1">
      <c r="A74" s="1327" t="s">
        <v>2195</v>
      </c>
      <c r="B74" s="2538" t="s">
        <v>2196</v>
      </c>
      <c r="C74" s="2539"/>
    </row>
    <row r="75" spans="1:3">
      <c r="A75" s="696"/>
      <c r="B75" s="378"/>
      <c r="C75" s="1326"/>
    </row>
    <row r="76" spans="1:3">
      <c r="A76" s="696"/>
      <c r="B76" s="378"/>
      <c r="C76" s="1326"/>
    </row>
    <row r="77" spans="1:3" ht="18" thickBot="1">
      <c r="A77" s="2548" t="s">
        <v>371</v>
      </c>
      <c r="B77" s="2549"/>
      <c r="C77" s="2550"/>
    </row>
    <row r="78" spans="1:3" ht="18" thickBot="1">
      <c r="A78" s="2540" t="s">
        <v>344</v>
      </c>
      <c r="B78" s="2541"/>
      <c r="C78" s="679" t="s">
        <v>212</v>
      </c>
    </row>
    <row r="79" spans="1:3">
      <c r="A79" s="678" t="s">
        <v>1237</v>
      </c>
      <c r="B79" s="673">
        <f>2587.3+43.54</f>
        <v>2630.84</v>
      </c>
      <c r="C79" s="658" t="s">
        <v>1225</v>
      </c>
    </row>
    <row r="80" spans="1:3">
      <c r="A80" s="670" t="s">
        <v>1238</v>
      </c>
      <c r="B80" s="680">
        <v>159.83699999999999</v>
      </c>
      <c r="C80" s="661" t="s">
        <v>1217</v>
      </c>
    </row>
    <row r="81" spans="1:3">
      <c r="A81" s="666" t="s">
        <v>1239</v>
      </c>
      <c r="B81" s="674">
        <f>15.45+14.57</f>
        <v>30.02</v>
      </c>
      <c r="C81" s="661" t="s">
        <v>1225</v>
      </c>
    </row>
    <row r="82" spans="1:3" ht="15.75" thickBot="1">
      <c r="A82" s="668" t="s">
        <v>1240</v>
      </c>
      <c r="B82" s="675">
        <v>64.319999999999993</v>
      </c>
      <c r="C82" s="664" t="s">
        <v>1225</v>
      </c>
    </row>
    <row r="83" spans="1:3" ht="39" thickBot="1">
      <c r="A83" s="1327" t="s">
        <v>2197</v>
      </c>
      <c r="B83" s="2538" t="s">
        <v>2196</v>
      </c>
      <c r="C83" s="2539"/>
    </row>
  </sheetData>
  <mergeCells count="15">
    <mergeCell ref="B83:C83"/>
    <mergeCell ref="A27:B27"/>
    <mergeCell ref="A1:C1"/>
    <mergeCell ref="A2:C2"/>
    <mergeCell ref="A3:B3"/>
    <mergeCell ref="A11:B11"/>
    <mergeCell ref="A19:B19"/>
    <mergeCell ref="A78:B78"/>
    <mergeCell ref="A35:B35"/>
    <mergeCell ref="A44:B44"/>
    <mergeCell ref="A52:B52"/>
    <mergeCell ref="A63:B63"/>
    <mergeCell ref="A69:B69"/>
    <mergeCell ref="A77:C77"/>
    <mergeCell ref="B74:C7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B4" sqref="B4"/>
    </sheetView>
  </sheetViews>
  <sheetFormatPr defaultRowHeight="15"/>
  <cols>
    <col min="1" max="1" width="81.28515625" customWidth="1"/>
    <col min="2" max="2" width="9.85546875" customWidth="1"/>
    <col min="3" max="3" width="9.42578125" customWidth="1"/>
  </cols>
  <sheetData>
    <row r="1" spans="1:3" ht="27" thickBot="1">
      <c r="A1" s="2542" t="s">
        <v>2310</v>
      </c>
      <c r="B1" s="2543"/>
      <c r="C1" s="2544"/>
    </row>
    <row r="2" spans="1:3" ht="18" thickBot="1">
      <c r="A2" s="2540" t="s">
        <v>1210</v>
      </c>
      <c r="B2" s="2541"/>
      <c r="C2" s="655" t="s">
        <v>212</v>
      </c>
    </row>
    <row r="3" spans="1:3">
      <c r="A3" s="656" t="s">
        <v>2311</v>
      </c>
      <c r="B3" s="657">
        <v>280.52999999999997</v>
      </c>
      <c r="C3" s="658" t="s">
        <v>1217</v>
      </c>
    </row>
    <row r="4" spans="1:3">
      <c r="A4" s="656" t="s">
        <v>1794</v>
      </c>
      <c r="B4" s="657">
        <f>60.6*2.08</f>
        <v>126.048</v>
      </c>
      <c r="C4" s="854" t="s">
        <v>1217</v>
      </c>
    </row>
    <row r="5" spans="1:3" ht="45">
      <c r="A5" s="659" t="s">
        <v>1213</v>
      </c>
      <c r="B5" s="660">
        <f>(B24/0.15)*0.55</f>
        <v>33.366666666666667</v>
      </c>
      <c r="C5" s="661" t="s">
        <v>1212</v>
      </c>
    </row>
    <row r="6" spans="1:3" ht="30">
      <c r="A6" s="656" t="s">
        <v>1214</v>
      </c>
      <c r="B6" s="657">
        <f>B5-B24</f>
        <v>24.266666666666666</v>
      </c>
      <c r="C6" s="661" t="s">
        <v>1212</v>
      </c>
    </row>
    <row r="7" spans="1:3">
      <c r="A7" s="656" t="s">
        <v>1215</v>
      </c>
      <c r="B7" s="657">
        <f>B12+B18+B24</f>
        <v>20.998760800517999</v>
      </c>
      <c r="C7" s="661" t="s">
        <v>1212</v>
      </c>
    </row>
    <row r="8" spans="1:3" ht="30">
      <c r="A8" s="659" t="s">
        <v>1218</v>
      </c>
      <c r="B8" s="660">
        <f>B5/0.5</f>
        <v>66.733333333333334</v>
      </c>
      <c r="C8" s="661" t="s">
        <v>1217</v>
      </c>
    </row>
    <row r="9" spans="1:3" ht="15.75" thickBot="1">
      <c r="A9" s="662" t="s">
        <v>1219</v>
      </c>
      <c r="B9" s="663">
        <f>(112.21+70.09)*(0.3+0.15+0.3)</f>
        <v>136.72500000000002</v>
      </c>
      <c r="C9" s="664" t="s">
        <v>1217</v>
      </c>
    </row>
    <row r="10" spans="1:3" ht="18" thickBot="1">
      <c r="A10" s="2540" t="s">
        <v>1795</v>
      </c>
      <c r="B10" s="2541"/>
      <c r="C10" s="665" t="s">
        <v>212</v>
      </c>
    </row>
    <row r="11" spans="1:3">
      <c r="A11" s="728" t="s">
        <v>1229</v>
      </c>
      <c r="B11" s="657">
        <f>66.15+36.75</f>
        <v>102.9</v>
      </c>
      <c r="C11" s="658" t="s">
        <v>1217</v>
      </c>
    </row>
    <row r="12" spans="1:3">
      <c r="A12" s="666" t="s">
        <v>1222</v>
      </c>
      <c r="B12" s="660">
        <f>4.25+7.65-3.08</f>
        <v>8.82</v>
      </c>
      <c r="C12" s="661" t="s">
        <v>1212</v>
      </c>
    </row>
    <row r="13" spans="1:3">
      <c r="A13" s="666" t="s">
        <v>1223</v>
      </c>
      <c r="B13" s="660">
        <f>B12</f>
        <v>8.82</v>
      </c>
      <c r="C13" s="661" t="s">
        <v>1212</v>
      </c>
    </row>
    <row r="14" spans="1:3">
      <c r="A14" s="666" t="s">
        <v>1224</v>
      </c>
      <c r="B14" s="660">
        <v>158.71</v>
      </c>
      <c r="C14" s="661" t="s">
        <v>1225</v>
      </c>
    </row>
    <row r="15" spans="1:3" ht="15.75" thickBot="1">
      <c r="A15" s="666" t="s">
        <v>1226</v>
      </c>
      <c r="B15" s="660">
        <v>105.2</v>
      </c>
      <c r="C15" s="661" t="s">
        <v>1225</v>
      </c>
    </row>
    <row r="16" spans="1:3" ht="18" thickBot="1">
      <c r="A16" s="2540" t="s">
        <v>1796</v>
      </c>
      <c r="B16" s="2541"/>
      <c r="C16" s="665" t="s">
        <v>212</v>
      </c>
    </row>
    <row r="17" spans="1:3">
      <c r="A17" s="728" t="s">
        <v>1797</v>
      </c>
      <c r="B17" s="657">
        <f>1.4*70</f>
        <v>98</v>
      </c>
      <c r="C17" s="658" t="s">
        <v>166</v>
      </c>
    </row>
    <row r="18" spans="1:3">
      <c r="A18" s="666" t="s">
        <v>1222</v>
      </c>
      <c r="B18" s="660">
        <f>70*PI()*0.2^2*1.4/4</f>
        <v>3.0787608005179976</v>
      </c>
      <c r="C18" s="661" t="s">
        <v>1212</v>
      </c>
    </row>
    <row r="19" spans="1:3">
      <c r="A19" s="666" t="s">
        <v>1223</v>
      </c>
      <c r="B19" s="660">
        <f>B18</f>
        <v>3.0787608005179976</v>
      </c>
      <c r="C19" s="661" t="s">
        <v>1212</v>
      </c>
    </row>
    <row r="20" spans="1:3">
      <c r="A20" s="666" t="s">
        <v>1224</v>
      </c>
      <c r="B20" s="660">
        <v>68.400000000000006</v>
      </c>
      <c r="C20" s="661" t="s">
        <v>1225</v>
      </c>
    </row>
    <row r="21" spans="1:3" ht="15.75" thickBot="1">
      <c r="A21" s="666" t="s">
        <v>1226</v>
      </c>
      <c r="B21" s="660">
        <v>361.41</v>
      </c>
      <c r="C21" s="661" t="s">
        <v>1225</v>
      </c>
    </row>
    <row r="22" spans="1:3" ht="18" thickBot="1">
      <c r="A22" s="2540" t="s">
        <v>227</v>
      </c>
      <c r="B22" s="2541"/>
      <c r="C22" s="665" t="s">
        <v>212</v>
      </c>
    </row>
    <row r="23" spans="1:3">
      <c r="A23" s="669" t="s">
        <v>1229</v>
      </c>
      <c r="B23" s="657">
        <v>133</v>
      </c>
      <c r="C23" s="658" t="s">
        <v>1217</v>
      </c>
    </row>
    <row r="24" spans="1:3">
      <c r="A24" s="670" t="s">
        <v>1222</v>
      </c>
      <c r="B24" s="660">
        <v>9.1</v>
      </c>
      <c r="C24" s="661" t="s">
        <v>1212</v>
      </c>
    </row>
    <row r="25" spans="1:3">
      <c r="A25" s="670" t="s">
        <v>1223</v>
      </c>
      <c r="B25" s="660">
        <f>B24</f>
        <v>9.1</v>
      </c>
      <c r="C25" s="661" t="s">
        <v>1212</v>
      </c>
    </row>
    <row r="26" spans="1:3">
      <c r="A26" s="670" t="s">
        <v>1224</v>
      </c>
      <c r="B26" s="660">
        <v>239</v>
      </c>
      <c r="C26" s="661" t="s">
        <v>1225</v>
      </c>
    </row>
    <row r="27" spans="1:3" ht="15.75" thickBot="1">
      <c r="A27" s="670" t="s">
        <v>1226</v>
      </c>
      <c r="B27" s="660">
        <v>483</v>
      </c>
      <c r="C27" s="661" t="s">
        <v>1225</v>
      </c>
    </row>
    <row r="28" spans="1:3" ht="18" thickBot="1">
      <c r="A28" s="2540" t="s">
        <v>239</v>
      </c>
      <c r="B28" s="2541"/>
      <c r="C28" s="672" t="s">
        <v>212</v>
      </c>
    </row>
    <row r="29" spans="1:3">
      <c r="A29" s="669" t="s">
        <v>1229</v>
      </c>
      <c r="B29" s="673">
        <v>101.25</v>
      </c>
      <c r="C29" s="658" t="s">
        <v>1217</v>
      </c>
    </row>
    <row r="30" spans="1:3">
      <c r="A30" s="670" t="s">
        <v>1222</v>
      </c>
      <c r="B30" s="674">
        <v>4.95</v>
      </c>
      <c r="C30" s="661" t="s">
        <v>1212</v>
      </c>
    </row>
    <row r="31" spans="1:3">
      <c r="A31" s="670" t="s">
        <v>1223</v>
      </c>
      <c r="B31" s="674">
        <f>B30</f>
        <v>4.95</v>
      </c>
      <c r="C31" s="661" t="s">
        <v>1212</v>
      </c>
    </row>
    <row r="32" spans="1:3">
      <c r="A32" s="670" t="s">
        <v>1224</v>
      </c>
      <c r="B32" s="660">
        <v>117</v>
      </c>
      <c r="C32" s="661" t="s">
        <v>1225</v>
      </c>
    </row>
    <row r="33" spans="1:3" ht="15.75" thickBot="1">
      <c r="A33" s="1516" t="s">
        <v>1226</v>
      </c>
      <c r="B33" s="1517">
        <v>274.5</v>
      </c>
      <c r="C33" s="667" t="s">
        <v>1225</v>
      </c>
    </row>
    <row r="34" spans="1:3" ht="39" thickBot="1">
      <c r="A34" s="1518" t="s">
        <v>2195</v>
      </c>
      <c r="B34" s="2551" t="s">
        <v>2312</v>
      </c>
      <c r="C34" s="2552"/>
    </row>
  </sheetData>
  <mergeCells count="7">
    <mergeCell ref="B34:C34"/>
    <mergeCell ref="A1:C1"/>
    <mergeCell ref="A2:B2"/>
    <mergeCell ref="A10:B10"/>
    <mergeCell ref="A16:B16"/>
    <mergeCell ref="A22:B22"/>
    <mergeCell ref="A28:B28"/>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topLeftCell="A70" workbookViewId="0">
      <selection activeCell="D81" sqref="D81"/>
    </sheetView>
  </sheetViews>
  <sheetFormatPr defaultRowHeight="15"/>
  <cols>
    <col min="2" max="2" width="90" bestFit="1" customWidth="1"/>
    <col min="3" max="3" width="12" customWidth="1"/>
    <col min="5" max="5" width="45.85546875" customWidth="1"/>
  </cols>
  <sheetData>
    <row r="1" spans="1:6" ht="21.75" thickBot="1">
      <c r="A1" s="2553" t="s">
        <v>1098</v>
      </c>
      <c r="B1" s="2554"/>
      <c r="C1" s="2555"/>
    </row>
    <row r="2" spans="1:6" ht="15.75" thickBot="1">
      <c r="A2" s="2556" t="s">
        <v>297</v>
      </c>
      <c r="B2" s="2557"/>
      <c r="C2" s="2558"/>
    </row>
    <row r="3" spans="1:6">
      <c r="A3" s="649">
        <v>1</v>
      </c>
      <c r="B3" s="1556" t="s">
        <v>298</v>
      </c>
      <c r="C3" s="1557" t="s">
        <v>299</v>
      </c>
      <c r="E3" s="792"/>
      <c r="F3" s="796"/>
    </row>
    <row r="4" spans="1:6">
      <c r="A4" s="650">
        <v>2</v>
      </c>
      <c r="B4" s="1558" t="s">
        <v>300</v>
      </c>
      <c r="C4" s="1559" t="s">
        <v>1099</v>
      </c>
      <c r="E4" s="792"/>
      <c r="F4" s="796"/>
    </row>
    <row r="5" spans="1:6">
      <c r="A5" s="650">
        <v>3</v>
      </c>
      <c r="B5" s="1558" t="s">
        <v>302</v>
      </c>
      <c r="C5" s="1559" t="s">
        <v>1100</v>
      </c>
      <c r="E5" s="792"/>
      <c r="F5" s="796"/>
    </row>
    <row r="6" spans="1:6">
      <c r="A6" s="650">
        <v>4</v>
      </c>
      <c r="B6" s="1558" t="s">
        <v>1101</v>
      </c>
      <c r="C6" s="1559" t="s">
        <v>1102</v>
      </c>
      <c r="E6" s="792"/>
      <c r="F6" s="796"/>
    </row>
    <row r="7" spans="1:6">
      <c r="A7" s="650">
        <v>5</v>
      </c>
      <c r="B7" s="1558" t="s">
        <v>1103</v>
      </c>
      <c r="C7" s="1559" t="s">
        <v>304</v>
      </c>
      <c r="E7" s="792"/>
      <c r="F7" s="796"/>
    </row>
    <row r="8" spans="1:6">
      <c r="A8" s="650">
        <v>6</v>
      </c>
      <c r="B8" s="1558" t="s">
        <v>1104</v>
      </c>
      <c r="C8" s="1559" t="s">
        <v>304</v>
      </c>
      <c r="E8" s="792"/>
      <c r="F8" s="796"/>
    </row>
    <row r="9" spans="1:6">
      <c r="A9" s="650">
        <v>7</v>
      </c>
      <c r="B9" s="1558" t="s">
        <v>1105</v>
      </c>
      <c r="C9" s="1559" t="s">
        <v>303</v>
      </c>
      <c r="E9" s="792"/>
      <c r="F9" s="796"/>
    </row>
    <row r="10" spans="1:6">
      <c r="A10" s="650">
        <v>8</v>
      </c>
      <c r="B10" s="1558" t="s">
        <v>1106</v>
      </c>
      <c r="C10" s="1559" t="s">
        <v>304</v>
      </c>
      <c r="E10" s="792"/>
      <c r="F10" s="796"/>
    </row>
    <row r="11" spans="1:6">
      <c r="A11" s="650">
        <v>9</v>
      </c>
      <c r="B11" s="1560" t="s">
        <v>1107</v>
      </c>
      <c r="C11" s="1559" t="s">
        <v>1108</v>
      </c>
      <c r="E11" s="792"/>
      <c r="F11" s="796"/>
    </row>
    <row r="12" spans="1:6">
      <c r="A12" s="650">
        <v>10</v>
      </c>
      <c r="B12" s="1558" t="s">
        <v>1109</v>
      </c>
      <c r="C12" s="1559" t="s">
        <v>1110</v>
      </c>
      <c r="E12" s="792"/>
      <c r="F12" s="796"/>
    </row>
    <row r="13" spans="1:6">
      <c r="A13" s="650">
        <v>11</v>
      </c>
      <c r="B13" s="1558" t="s">
        <v>1111</v>
      </c>
      <c r="C13" s="1559" t="s">
        <v>1112</v>
      </c>
      <c r="E13" s="797"/>
      <c r="F13" s="796"/>
    </row>
    <row r="14" spans="1:6">
      <c r="A14" s="650">
        <v>12</v>
      </c>
      <c r="B14" s="1558" t="s">
        <v>1113</v>
      </c>
      <c r="C14" s="1559" t="s">
        <v>1114</v>
      </c>
      <c r="E14" s="792"/>
      <c r="F14" s="796"/>
    </row>
    <row r="15" spans="1:6">
      <c r="A15" s="650">
        <v>13</v>
      </c>
      <c r="B15" s="1558" t="s">
        <v>1115</v>
      </c>
      <c r="C15" s="1559" t="s">
        <v>1116</v>
      </c>
      <c r="E15" s="792"/>
      <c r="F15" s="796"/>
    </row>
    <row r="16" spans="1:6">
      <c r="A16" s="650">
        <v>14</v>
      </c>
      <c r="B16" s="1558" t="s">
        <v>1117</v>
      </c>
      <c r="C16" s="1559" t="s">
        <v>1118</v>
      </c>
      <c r="E16" s="792"/>
      <c r="F16" s="796"/>
    </row>
    <row r="17" spans="1:6">
      <c r="A17" s="650">
        <v>15</v>
      </c>
      <c r="B17" s="1558" t="s">
        <v>1119</v>
      </c>
      <c r="C17" s="1559" t="s">
        <v>1120</v>
      </c>
      <c r="E17" s="792"/>
      <c r="F17" s="796"/>
    </row>
    <row r="18" spans="1:6" ht="17.25" customHeight="1">
      <c r="A18" s="650">
        <v>16</v>
      </c>
      <c r="B18" s="1558" t="s">
        <v>1121</v>
      </c>
      <c r="C18" s="1559" t="s">
        <v>303</v>
      </c>
      <c r="E18" s="792"/>
      <c r="F18" s="796"/>
    </row>
    <row r="19" spans="1:6">
      <c r="A19" s="650">
        <v>17</v>
      </c>
      <c r="B19" s="1558" t="s">
        <v>1122</v>
      </c>
      <c r="C19" s="1559" t="s">
        <v>299</v>
      </c>
      <c r="E19" s="792"/>
      <c r="F19" s="796"/>
    </row>
    <row r="20" spans="1:6">
      <c r="A20" s="650">
        <v>18</v>
      </c>
      <c r="B20" s="1558" t="s">
        <v>1123</v>
      </c>
      <c r="C20" s="798" t="s">
        <v>306</v>
      </c>
      <c r="E20" s="792" t="s">
        <v>1665</v>
      </c>
      <c r="F20" s="796"/>
    </row>
    <row r="21" spans="1:6">
      <c r="A21" s="650">
        <v>19</v>
      </c>
      <c r="B21" s="1558" t="s">
        <v>1664</v>
      </c>
      <c r="C21" s="798" t="s">
        <v>299</v>
      </c>
      <c r="E21" s="792"/>
      <c r="F21" s="796"/>
    </row>
    <row r="22" spans="1:6">
      <c r="A22" s="650">
        <v>20</v>
      </c>
      <c r="B22" s="1558" t="s">
        <v>1124</v>
      </c>
      <c r="C22" s="798" t="s">
        <v>303</v>
      </c>
      <c r="E22" s="792"/>
      <c r="F22" s="796"/>
    </row>
    <row r="23" spans="1:6">
      <c r="A23" s="650">
        <v>21</v>
      </c>
      <c r="B23" s="1558" t="s">
        <v>1125</v>
      </c>
      <c r="C23" s="1559" t="s">
        <v>304</v>
      </c>
      <c r="E23" s="792"/>
      <c r="F23" s="796"/>
    </row>
    <row r="24" spans="1:6">
      <c r="A24" s="650">
        <v>22</v>
      </c>
      <c r="B24" s="1558" t="s">
        <v>1126</v>
      </c>
      <c r="C24" s="1559" t="s">
        <v>304</v>
      </c>
      <c r="E24" s="792" t="s">
        <v>1669</v>
      </c>
      <c r="F24" s="796"/>
    </row>
    <row r="25" spans="1:6">
      <c r="A25" s="650">
        <v>23</v>
      </c>
      <c r="B25" s="1558" t="s">
        <v>1127</v>
      </c>
      <c r="C25" s="1559" t="s">
        <v>1128</v>
      </c>
      <c r="E25" s="792"/>
      <c r="F25" s="796"/>
    </row>
    <row r="26" spans="1:6">
      <c r="A26" s="650">
        <v>24</v>
      </c>
      <c r="B26" s="1558" t="s">
        <v>1129</v>
      </c>
      <c r="C26" s="1559" t="s">
        <v>303</v>
      </c>
      <c r="E26" s="792"/>
      <c r="F26" s="796"/>
    </row>
    <row r="27" spans="1:6">
      <c r="A27" s="650">
        <v>25</v>
      </c>
      <c r="B27" s="1558" t="s">
        <v>1130</v>
      </c>
      <c r="C27" s="1559" t="s">
        <v>1131</v>
      </c>
      <c r="E27" s="792"/>
      <c r="F27" s="796"/>
    </row>
    <row r="28" spans="1:6">
      <c r="A28" s="650">
        <v>26</v>
      </c>
      <c r="B28" s="1558" t="s">
        <v>1132</v>
      </c>
      <c r="C28" s="1559" t="s">
        <v>303</v>
      </c>
      <c r="E28" s="792"/>
      <c r="F28" s="796"/>
    </row>
    <row r="29" spans="1:6">
      <c r="A29" s="650">
        <v>27</v>
      </c>
      <c r="B29" s="1558" t="s">
        <v>1133</v>
      </c>
      <c r="C29" s="1559" t="s">
        <v>304</v>
      </c>
      <c r="E29" s="792"/>
      <c r="F29" s="796"/>
    </row>
    <row r="30" spans="1:6">
      <c r="A30" s="650">
        <v>28</v>
      </c>
      <c r="B30" s="1558" t="s">
        <v>1134</v>
      </c>
      <c r="C30" s="1559" t="s">
        <v>1108</v>
      </c>
      <c r="E30" s="792"/>
      <c r="F30" s="796"/>
    </row>
    <row r="31" spans="1:6">
      <c r="A31" s="650">
        <v>29</v>
      </c>
      <c r="B31" s="1558" t="s">
        <v>1135</v>
      </c>
      <c r="C31" s="1559" t="s">
        <v>304</v>
      </c>
      <c r="E31" s="792"/>
      <c r="F31" s="796"/>
    </row>
    <row r="32" spans="1:6">
      <c r="A32" s="650">
        <v>30</v>
      </c>
      <c r="B32" s="1558" t="s">
        <v>1136</v>
      </c>
      <c r="C32" s="1559" t="s">
        <v>303</v>
      </c>
      <c r="E32" s="792"/>
      <c r="F32" s="796"/>
    </row>
    <row r="33" spans="1:6">
      <c r="A33" s="650">
        <v>31</v>
      </c>
      <c r="B33" s="1558" t="s">
        <v>1137</v>
      </c>
      <c r="C33" s="1559" t="s">
        <v>1108</v>
      </c>
      <c r="E33" s="792"/>
      <c r="F33" s="796"/>
    </row>
    <row r="34" spans="1:6">
      <c r="A34" s="650">
        <v>32</v>
      </c>
      <c r="B34" s="1558" t="s">
        <v>1138</v>
      </c>
      <c r="C34" s="1559" t="s">
        <v>305</v>
      </c>
      <c r="E34" s="792"/>
      <c r="F34" s="796"/>
    </row>
    <row r="35" spans="1:6">
      <c r="A35" s="650">
        <v>33</v>
      </c>
      <c r="B35" s="1558" t="s">
        <v>1139</v>
      </c>
      <c r="C35" s="1559" t="s">
        <v>304</v>
      </c>
      <c r="E35" s="792"/>
      <c r="F35" s="796"/>
    </row>
    <row r="36" spans="1:6" ht="15.75" customHeight="1">
      <c r="A36" s="650">
        <v>34</v>
      </c>
      <c r="B36" s="1558" t="s">
        <v>1140</v>
      </c>
      <c r="C36" s="1559" t="s">
        <v>301</v>
      </c>
      <c r="E36" s="792"/>
      <c r="F36" s="796"/>
    </row>
    <row r="37" spans="1:6">
      <c r="A37" s="650">
        <v>35</v>
      </c>
      <c r="B37" s="1558" t="s">
        <v>1141</v>
      </c>
      <c r="C37" s="1559" t="s">
        <v>305</v>
      </c>
    </row>
    <row r="38" spans="1:6">
      <c r="A38" s="650">
        <v>36</v>
      </c>
      <c r="B38" s="1558" t="s">
        <v>1142</v>
      </c>
      <c r="C38" s="1559" t="s">
        <v>1108</v>
      </c>
    </row>
    <row r="39" spans="1:6">
      <c r="A39" s="650">
        <v>37</v>
      </c>
      <c r="B39" s="1558" t="s">
        <v>1143</v>
      </c>
      <c r="C39" s="1559" t="s">
        <v>304</v>
      </c>
      <c r="E39" t="s">
        <v>1582</v>
      </c>
    </row>
    <row r="40" spans="1:6">
      <c r="A40" s="650">
        <v>38</v>
      </c>
      <c r="B40" s="1558" t="s">
        <v>307</v>
      </c>
      <c r="C40" s="1559" t="s">
        <v>305</v>
      </c>
      <c r="E40" t="s">
        <v>1583</v>
      </c>
    </row>
    <row r="41" spans="1:6">
      <c r="A41" s="650">
        <v>39</v>
      </c>
      <c r="B41" s="1560" t="s">
        <v>266</v>
      </c>
      <c r="C41" s="1562" t="s">
        <v>304</v>
      </c>
      <c r="E41" t="s">
        <v>1560</v>
      </c>
    </row>
    <row r="42" spans="1:6">
      <c r="A42" s="650">
        <v>40</v>
      </c>
      <c r="B42" s="1558" t="s">
        <v>1685</v>
      </c>
      <c r="C42" s="1559" t="s">
        <v>1144</v>
      </c>
    </row>
    <row r="43" spans="1:6">
      <c r="A43" s="650">
        <v>41</v>
      </c>
      <c r="B43" s="1558" t="s">
        <v>1686</v>
      </c>
      <c r="C43" s="1559" t="s">
        <v>1145</v>
      </c>
    </row>
    <row r="44" spans="1:6">
      <c r="A44" s="650">
        <v>42</v>
      </c>
      <c r="B44" s="1558" t="s">
        <v>1146</v>
      </c>
      <c r="C44" s="1559" t="s">
        <v>1147</v>
      </c>
    </row>
    <row r="45" spans="1:6">
      <c r="A45" s="650">
        <v>43</v>
      </c>
      <c r="B45" s="1558" t="s">
        <v>1148</v>
      </c>
      <c r="C45" s="1559" t="s">
        <v>1149</v>
      </c>
    </row>
    <row r="46" spans="1:6">
      <c r="A46" s="650">
        <v>44</v>
      </c>
      <c r="B46" s="1558" t="s">
        <v>1150</v>
      </c>
      <c r="C46" s="1559" t="s">
        <v>1151</v>
      </c>
    </row>
    <row r="47" spans="1:6">
      <c r="A47" s="650">
        <v>45</v>
      </c>
      <c r="B47" s="1558" t="s">
        <v>1152</v>
      </c>
      <c r="C47" s="1559" t="s">
        <v>1153</v>
      </c>
    </row>
    <row r="48" spans="1:6">
      <c r="A48" s="650">
        <v>46</v>
      </c>
      <c r="B48" s="1558" t="s">
        <v>1154</v>
      </c>
      <c r="C48" s="1559" t="s">
        <v>1110</v>
      </c>
    </row>
    <row r="49" spans="1:7">
      <c r="A49" s="650">
        <v>47</v>
      </c>
      <c r="B49" s="1558" t="s">
        <v>1155</v>
      </c>
      <c r="C49" s="1562" t="s">
        <v>1112</v>
      </c>
    </row>
    <row r="50" spans="1:7">
      <c r="A50" s="650">
        <v>48</v>
      </c>
      <c r="B50" s="1560" t="s">
        <v>1156</v>
      </c>
      <c r="C50" s="1562" t="s">
        <v>304</v>
      </c>
    </row>
    <row r="51" spans="1:7">
      <c r="A51" s="650">
        <v>49</v>
      </c>
      <c r="B51" s="1558" t="s">
        <v>1157</v>
      </c>
      <c r="C51" s="1559" t="s">
        <v>1102</v>
      </c>
      <c r="E51" s="681"/>
    </row>
    <row r="52" spans="1:7">
      <c r="A52" s="650">
        <v>50</v>
      </c>
      <c r="B52" s="1560" t="s">
        <v>1158</v>
      </c>
      <c r="C52" s="1562" t="s">
        <v>1159</v>
      </c>
    </row>
    <row r="53" spans="1:7">
      <c r="A53" s="650">
        <v>51</v>
      </c>
      <c r="B53" s="1558" t="s">
        <v>1160</v>
      </c>
      <c r="C53" s="1559" t="s">
        <v>1161</v>
      </c>
    </row>
    <row r="54" spans="1:7">
      <c r="A54" s="650">
        <v>52</v>
      </c>
      <c r="B54" s="1558" t="s">
        <v>1162</v>
      </c>
      <c r="C54" s="1559" t="s">
        <v>1163</v>
      </c>
    </row>
    <row r="55" spans="1:7" ht="15.75" thickBot="1">
      <c r="A55" s="651">
        <v>53</v>
      </c>
      <c r="B55" s="1561" t="s">
        <v>1164</v>
      </c>
      <c r="C55" s="1563" t="s">
        <v>304</v>
      </c>
    </row>
    <row r="56" spans="1:7" ht="15.75" thickBot="1">
      <c r="A56" s="2559" t="s">
        <v>1165</v>
      </c>
      <c r="B56" s="2560"/>
      <c r="C56" s="2561"/>
      <c r="D56" s="379"/>
    </row>
    <row r="57" spans="1:7">
      <c r="A57" s="652">
        <v>1</v>
      </c>
      <c r="B57" s="1564" t="s">
        <v>1166</v>
      </c>
      <c r="C57" s="1559" t="s">
        <v>309</v>
      </c>
      <c r="D57" s="654"/>
      <c r="E57" s="790"/>
      <c r="F57" s="791"/>
      <c r="G57" s="62"/>
    </row>
    <row r="58" spans="1:7">
      <c r="A58" s="652">
        <v>2</v>
      </c>
      <c r="B58" s="1565" t="s">
        <v>1167</v>
      </c>
      <c r="C58" s="1562" t="s">
        <v>304</v>
      </c>
      <c r="D58" s="379"/>
      <c r="E58" s="790"/>
      <c r="F58" s="791"/>
      <c r="G58" s="62"/>
    </row>
    <row r="59" spans="1:7">
      <c r="A59" s="652">
        <v>3</v>
      </c>
      <c r="B59" s="1565" t="s">
        <v>264</v>
      </c>
      <c r="C59" s="1562" t="s">
        <v>1161</v>
      </c>
      <c r="E59" s="790"/>
      <c r="F59" s="791"/>
      <c r="G59" s="62"/>
    </row>
    <row r="60" spans="1:7">
      <c r="A60" s="652">
        <v>4</v>
      </c>
      <c r="B60" s="1565" t="s">
        <v>1168</v>
      </c>
      <c r="C60" s="1562" t="s">
        <v>1161</v>
      </c>
      <c r="E60" s="790"/>
      <c r="F60" s="791"/>
      <c r="G60" s="62"/>
    </row>
    <row r="61" spans="1:7">
      <c r="A61" s="652">
        <v>5</v>
      </c>
      <c r="B61" s="1565" t="s">
        <v>1169</v>
      </c>
      <c r="C61" s="1562" t="s">
        <v>1170</v>
      </c>
      <c r="E61" s="790"/>
      <c r="F61" s="791"/>
      <c r="G61" s="62"/>
    </row>
    <row r="62" spans="1:7">
      <c r="A62" s="652">
        <v>6</v>
      </c>
      <c r="B62" s="1565" t="s">
        <v>1171</v>
      </c>
      <c r="C62" s="1562" t="s">
        <v>304</v>
      </c>
      <c r="E62" s="790"/>
      <c r="F62" s="791"/>
      <c r="G62" s="62"/>
    </row>
    <row r="63" spans="1:7">
      <c r="A63" s="652">
        <v>7</v>
      </c>
      <c r="B63" s="1566" t="s">
        <v>1172</v>
      </c>
      <c r="C63" s="1559" t="s">
        <v>1161</v>
      </c>
      <c r="E63" s="790"/>
      <c r="F63" s="791"/>
      <c r="G63" s="62"/>
    </row>
    <row r="64" spans="1:7">
      <c r="A64" s="652">
        <v>8</v>
      </c>
      <c r="B64" s="1566" t="s">
        <v>1173</v>
      </c>
      <c r="C64" s="1559" t="s">
        <v>304</v>
      </c>
      <c r="E64" s="790"/>
      <c r="F64" s="791"/>
      <c r="G64" s="62"/>
    </row>
    <row r="65" spans="1:7">
      <c r="A65" s="652">
        <v>9</v>
      </c>
      <c r="B65" s="1566" t="s">
        <v>1174</v>
      </c>
      <c r="C65" s="1559" t="s">
        <v>304</v>
      </c>
      <c r="E65" s="790"/>
      <c r="F65" s="791"/>
      <c r="G65" s="62"/>
    </row>
    <row r="66" spans="1:7">
      <c r="A66" s="652">
        <v>10</v>
      </c>
      <c r="B66" s="1566" t="s">
        <v>265</v>
      </c>
      <c r="C66" s="1559" t="s">
        <v>1108</v>
      </c>
      <c r="E66" s="790"/>
      <c r="F66" s="791"/>
      <c r="G66" s="62"/>
    </row>
    <row r="67" spans="1:7">
      <c r="A67" s="652">
        <v>11</v>
      </c>
      <c r="B67" s="1566" t="s">
        <v>1175</v>
      </c>
      <c r="C67" s="1559" t="s">
        <v>308</v>
      </c>
      <c r="E67" s="790"/>
      <c r="F67" s="791"/>
      <c r="G67" s="62"/>
    </row>
    <row r="68" spans="1:7">
      <c r="A68" s="652">
        <v>12</v>
      </c>
      <c r="B68" s="1566" t="s">
        <v>1176</v>
      </c>
      <c r="C68" s="1559" t="s">
        <v>1177</v>
      </c>
      <c r="E68" s="790"/>
      <c r="F68" s="791"/>
      <c r="G68" s="62"/>
    </row>
    <row r="69" spans="1:7">
      <c r="A69" s="652">
        <v>13</v>
      </c>
      <c r="B69" s="1566" t="s">
        <v>1178</v>
      </c>
      <c r="C69" s="1559" t="s">
        <v>1179</v>
      </c>
      <c r="E69" s="790"/>
      <c r="F69" s="791"/>
      <c r="G69" s="62"/>
    </row>
    <row r="70" spans="1:7">
      <c r="A70" s="652">
        <v>14</v>
      </c>
      <c r="B70" s="1566" t="s">
        <v>1180</v>
      </c>
      <c r="C70" s="1559" t="s">
        <v>304</v>
      </c>
      <c r="E70" s="792"/>
      <c r="F70" s="791"/>
      <c r="G70" s="62"/>
    </row>
    <row r="71" spans="1:7">
      <c r="A71" s="652">
        <v>15</v>
      </c>
      <c r="B71" s="1566" t="s">
        <v>1181</v>
      </c>
      <c r="C71" s="1559" t="s">
        <v>304</v>
      </c>
    </row>
    <row r="72" spans="1:7">
      <c r="A72" s="652">
        <v>16</v>
      </c>
      <c r="B72" s="1566" t="s">
        <v>1182</v>
      </c>
      <c r="C72" s="1559" t="s">
        <v>304</v>
      </c>
    </row>
    <row r="73" spans="1:7">
      <c r="A73" s="652">
        <v>17</v>
      </c>
      <c r="B73" s="1566" t="s">
        <v>1183</v>
      </c>
      <c r="C73" s="1559" t="s">
        <v>303</v>
      </c>
    </row>
    <row r="74" spans="1:7">
      <c r="A74" s="652">
        <v>18</v>
      </c>
      <c r="B74" s="1566" t="s">
        <v>1184</v>
      </c>
      <c r="C74" s="1559" t="s">
        <v>304</v>
      </c>
    </row>
    <row r="75" spans="1:7">
      <c r="A75" s="652">
        <v>19</v>
      </c>
      <c r="B75" s="1566" t="s">
        <v>1185</v>
      </c>
      <c r="C75" s="1559" t="s">
        <v>303</v>
      </c>
    </row>
    <row r="76" spans="1:7">
      <c r="A76" s="652">
        <v>20</v>
      </c>
      <c r="B76" s="1566" t="s">
        <v>1186</v>
      </c>
      <c r="C76" s="1559" t="s">
        <v>308</v>
      </c>
    </row>
    <row r="77" spans="1:7">
      <c r="A77" s="652">
        <v>21</v>
      </c>
      <c r="B77" s="1566" t="s">
        <v>1187</v>
      </c>
      <c r="C77" s="1559" t="s">
        <v>1161</v>
      </c>
    </row>
    <row r="78" spans="1:7">
      <c r="A78" s="652">
        <v>22</v>
      </c>
      <c r="B78" s="1566" t="s">
        <v>1685</v>
      </c>
      <c r="C78" s="1559" t="s">
        <v>1188</v>
      </c>
    </row>
    <row r="79" spans="1:7">
      <c r="A79" s="652">
        <v>23</v>
      </c>
      <c r="B79" s="1566" t="s">
        <v>1189</v>
      </c>
      <c r="C79" s="1559" t="s">
        <v>1190</v>
      </c>
    </row>
    <row r="80" spans="1:7">
      <c r="A80" s="652">
        <v>24</v>
      </c>
      <c r="B80" s="1566" t="s">
        <v>1150</v>
      </c>
      <c r="C80" s="1559" t="s">
        <v>1191</v>
      </c>
    </row>
    <row r="81" spans="1:3">
      <c r="A81" s="652">
        <v>25</v>
      </c>
      <c r="B81" s="1566" t="s">
        <v>1152</v>
      </c>
      <c r="C81" s="1559" t="s">
        <v>1192</v>
      </c>
    </row>
    <row r="82" spans="1:3">
      <c r="A82" s="652">
        <v>26</v>
      </c>
      <c r="B82" s="1566" t="s">
        <v>1193</v>
      </c>
      <c r="C82" s="1559" t="s">
        <v>1194</v>
      </c>
    </row>
    <row r="83" spans="1:3" ht="15.75" thickBot="1">
      <c r="A83" s="652">
        <v>27</v>
      </c>
      <c r="B83" s="1566" t="s">
        <v>1195</v>
      </c>
      <c r="C83" s="1559" t="s">
        <v>304</v>
      </c>
    </row>
    <row r="84" spans="1:3" ht="15.75" thickBot="1">
      <c r="A84" s="2559" t="s">
        <v>1196</v>
      </c>
      <c r="B84" s="2560"/>
      <c r="C84" s="2561"/>
    </row>
    <row r="85" spans="1:3">
      <c r="A85" s="652">
        <v>1</v>
      </c>
      <c r="B85" s="1567" t="s">
        <v>1197</v>
      </c>
      <c r="C85" s="1562" t="s">
        <v>304</v>
      </c>
    </row>
    <row r="86" spans="1:3">
      <c r="A86" s="652">
        <v>2</v>
      </c>
      <c r="B86" s="1568" t="s">
        <v>1198</v>
      </c>
      <c r="C86" s="1559" t="s">
        <v>310</v>
      </c>
    </row>
    <row r="87" spans="1:3">
      <c r="A87" s="652">
        <v>3</v>
      </c>
      <c r="B87" s="1569" t="s">
        <v>1199</v>
      </c>
      <c r="C87" s="1559" t="s">
        <v>1145</v>
      </c>
    </row>
    <row r="88" spans="1:3">
      <c r="A88" s="652">
        <v>4</v>
      </c>
      <c r="B88" s="1569" t="s">
        <v>1200</v>
      </c>
      <c r="C88" s="1559" t="s">
        <v>310</v>
      </c>
    </row>
    <row r="89" spans="1:3">
      <c r="A89" s="652">
        <v>5</v>
      </c>
      <c r="B89" s="1569" t="s">
        <v>1201</v>
      </c>
      <c r="C89" s="1559" t="s">
        <v>1202</v>
      </c>
    </row>
    <row r="90" spans="1:3">
      <c r="A90" s="652">
        <v>6</v>
      </c>
      <c r="B90" s="1569" t="s">
        <v>1203</v>
      </c>
      <c r="C90" s="1559" t="s">
        <v>1204</v>
      </c>
    </row>
    <row r="91" spans="1:3">
      <c r="A91" s="652">
        <v>7</v>
      </c>
      <c r="B91" s="1569" t="s">
        <v>1205</v>
      </c>
      <c r="C91" s="1559" t="s">
        <v>1206</v>
      </c>
    </row>
    <row r="92" spans="1:3" ht="15.75" thickBot="1">
      <c r="A92" s="653">
        <v>8</v>
      </c>
      <c r="B92" s="1570" t="s">
        <v>1207</v>
      </c>
      <c r="C92" s="1563" t="s">
        <v>1208</v>
      </c>
    </row>
    <row r="93" spans="1:3" ht="39" thickBot="1">
      <c r="A93" s="1327"/>
      <c r="B93" s="1272" t="s">
        <v>2202</v>
      </c>
      <c r="C93" s="1328" t="s">
        <v>2201</v>
      </c>
    </row>
  </sheetData>
  <mergeCells count="4">
    <mergeCell ref="A1:C1"/>
    <mergeCell ref="A2:C2"/>
    <mergeCell ref="A56:C56"/>
    <mergeCell ref="A84:C84"/>
  </mergeCells>
  <conditionalFormatting sqref="F57:F70">
    <cfRule type="uniqueValues" dxfId="0" priority="1"/>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79" workbookViewId="0">
      <selection activeCell="F57" sqref="F57"/>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431" t="s">
        <v>2062</v>
      </c>
      <c r="B1" s="867" t="s">
        <v>1413</v>
      </c>
      <c r="C1" s="868"/>
      <c r="D1" s="869"/>
    </row>
    <row r="2" spans="1:4" ht="15" customHeight="1">
      <c r="A2" s="909" t="s">
        <v>1825</v>
      </c>
      <c r="B2" s="136"/>
      <c r="C2" s="560"/>
      <c r="D2" s="873"/>
    </row>
    <row r="3" spans="1:4" ht="16.5" customHeight="1">
      <c r="A3" s="911" t="s">
        <v>1843</v>
      </c>
      <c r="B3" s="910" t="s">
        <v>1850</v>
      </c>
      <c r="C3" s="515"/>
      <c r="D3" s="420"/>
    </row>
    <row r="4" spans="1:4">
      <c r="A4" s="911" t="s">
        <v>1844</v>
      </c>
      <c r="B4" s="910">
        <v>1</v>
      </c>
      <c r="C4" s="515"/>
      <c r="D4" s="871"/>
    </row>
    <row r="5" spans="1:4">
      <c r="A5" s="911" t="s">
        <v>1841</v>
      </c>
      <c r="B5" s="910">
        <v>1</v>
      </c>
      <c r="C5" s="515"/>
      <c r="D5" s="420"/>
    </row>
    <row r="6" spans="1:4">
      <c r="A6" s="911" t="s">
        <v>1840</v>
      </c>
      <c r="B6" s="910">
        <v>1</v>
      </c>
      <c r="C6" s="515"/>
      <c r="D6" s="420"/>
    </row>
    <row r="7" spans="1:4">
      <c r="A7" s="911" t="s">
        <v>1839</v>
      </c>
      <c r="B7" s="910">
        <v>2</v>
      </c>
      <c r="C7" s="515"/>
      <c r="D7" s="871"/>
    </row>
    <row r="8" spans="1:4">
      <c r="A8" s="911" t="s">
        <v>1842</v>
      </c>
      <c r="B8" s="910">
        <v>4</v>
      </c>
      <c r="C8" s="515"/>
      <c r="D8" s="420"/>
    </row>
    <row r="9" spans="1:4" ht="13.5" customHeight="1">
      <c r="A9" s="912" t="s">
        <v>1826</v>
      </c>
      <c r="B9" s="913"/>
      <c r="C9" s="870"/>
      <c r="D9" s="420"/>
    </row>
    <row r="10" spans="1:4">
      <c r="A10" s="911" t="s">
        <v>1873</v>
      </c>
      <c r="B10" s="910">
        <v>1</v>
      </c>
      <c r="C10" s="870"/>
      <c r="D10" s="420"/>
    </row>
    <row r="11" spans="1:4">
      <c r="A11" s="911" t="s">
        <v>1845</v>
      </c>
      <c r="B11" s="910">
        <v>1</v>
      </c>
      <c r="C11" s="870"/>
      <c r="D11" s="872"/>
    </row>
    <row r="12" spans="1:4">
      <c r="A12" s="911" t="s">
        <v>1846</v>
      </c>
      <c r="B12" s="910">
        <v>2</v>
      </c>
      <c r="C12" s="870"/>
      <c r="D12" s="420"/>
    </row>
    <row r="13" spans="1:4">
      <c r="A13" s="911" t="s">
        <v>1852</v>
      </c>
      <c r="B13" s="910">
        <v>2</v>
      </c>
      <c r="C13" s="515"/>
      <c r="D13" s="420"/>
    </row>
    <row r="14" spans="1:4" ht="24.75" customHeight="1">
      <c r="A14" s="911" t="s">
        <v>1851</v>
      </c>
      <c r="B14" s="910">
        <v>3</v>
      </c>
      <c r="C14" s="515"/>
      <c r="D14" s="420"/>
    </row>
    <row r="15" spans="1:4" ht="18.75" customHeight="1">
      <c r="A15" s="911" t="s">
        <v>1847</v>
      </c>
      <c r="B15" s="910">
        <v>2</v>
      </c>
      <c r="C15" s="515"/>
      <c r="D15" s="420"/>
    </row>
    <row r="16" spans="1:4" ht="15" customHeight="1">
      <c r="A16" s="912" t="s">
        <v>1827</v>
      </c>
      <c r="B16" s="913"/>
      <c r="C16" s="515"/>
      <c r="D16" s="420"/>
    </row>
    <row r="17" spans="1:4" ht="22.5" customHeight="1">
      <c r="A17" s="911" t="s">
        <v>1853</v>
      </c>
      <c r="B17" s="910">
        <v>4</v>
      </c>
      <c r="C17" s="515"/>
      <c r="D17" s="420"/>
    </row>
    <row r="18" spans="1:4" ht="21.75" customHeight="1">
      <c r="A18" s="911" t="s">
        <v>1854</v>
      </c>
      <c r="B18" s="910">
        <v>6</v>
      </c>
      <c r="C18" s="515"/>
      <c r="D18" s="420"/>
    </row>
    <row r="19" spans="1:4" ht="21" customHeight="1">
      <c r="A19" s="911" t="s">
        <v>1855</v>
      </c>
      <c r="B19" s="910">
        <v>2</v>
      </c>
      <c r="C19" s="515"/>
      <c r="D19" s="420"/>
    </row>
    <row r="20" spans="1:4" ht="27.75" customHeight="1">
      <c r="A20" s="911" t="s">
        <v>1856</v>
      </c>
      <c r="B20" s="910">
        <v>4</v>
      </c>
      <c r="C20" s="515"/>
      <c r="D20" s="420"/>
    </row>
    <row r="21" spans="1:4" ht="26.25" customHeight="1">
      <c r="A21" s="911" t="s">
        <v>1857</v>
      </c>
      <c r="B21" s="910">
        <v>2</v>
      </c>
      <c r="C21" s="515"/>
      <c r="D21" s="420"/>
    </row>
    <row r="22" spans="1:4" ht="16.5" customHeight="1">
      <c r="A22" s="912" t="s">
        <v>1828</v>
      </c>
      <c r="B22" s="913"/>
      <c r="C22" s="515"/>
      <c r="D22" s="420"/>
    </row>
    <row r="23" spans="1:4">
      <c r="A23" s="911" t="s">
        <v>1858</v>
      </c>
      <c r="B23" s="910" t="s">
        <v>1859</v>
      </c>
      <c r="C23" s="515"/>
      <c r="D23" s="420"/>
    </row>
    <row r="24" spans="1:4">
      <c r="A24" s="911" t="s">
        <v>1860</v>
      </c>
      <c r="B24" s="910">
        <v>1</v>
      </c>
      <c r="C24" s="515"/>
      <c r="D24" s="420"/>
    </row>
    <row r="25" spans="1:4">
      <c r="A25" s="914" t="s">
        <v>1861</v>
      </c>
      <c r="B25" s="915">
        <v>4</v>
      </c>
      <c r="C25" s="515"/>
      <c r="D25" s="420"/>
    </row>
    <row r="26" spans="1:4" ht="16.5" customHeight="1">
      <c r="A26" s="911" t="s">
        <v>1862</v>
      </c>
      <c r="B26" s="910">
        <v>2</v>
      </c>
      <c r="C26" s="515"/>
      <c r="D26" s="420"/>
    </row>
    <row r="27" spans="1:4">
      <c r="A27" s="912" t="s">
        <v>1829</v>
      </c>
      <c r="B27" s="913"/>
      <c r="C27" s="515"/>
      <c r="D27" s="420"/>
    </row>
    <row r="28" spans="1:4">
      <c r="A28" s="914" t="s">
        <v>1849</v>
      </c>
      <c r="B28" s="915" t="s">
        <v>1850</v>
      </c>
      <c r="C28" s="515"/>
      <c r="D28" s="420"/>
    </row>
    <row r="29" spans="1:4">
      <c r="A29" s="912" t="s">
        <v>1830</v>
      </c>
      <c r="B29" s="913"/>
      <c r="C29" s="515"/>
      <c r="D29" s="420"/>
    </row>
    <row r="30" spans="1:4">
      <c r="A30" s="911" t="s">
        <v>1831</v>
      </c>
      <c r="B30" s="913"/>
      <c r="C30" s="515"/>
      <c r="D30" s="420"/>
    </row>
    <row r="31" spans="1:4">
      <c r="A31" s="916" t="s">
        <v>2051</v>
      </c>
      <c r="B31" s="910" t="s">
        <v>1859</v>
      </c>
      <c r="C31" s="515"/>
      <c r="D31" s="420"/>
    </row>
    <row r="32" spans="1:4">
      <c r="A32" s="916" t="s">
        <v>2052</v>
      </c>
      <c r="B32" s="910">
        <v>1</v>
      </c>
      <c r="C32" s="515"/>
      <c r="D32" s="420"/>
    </row>
    <row r="33" spans="1:4">
      <c r="A33" s="917" t="s">
        <v>2054</v>
      </c>
      <c r="B33" s="910">
        <v>3</v>
      </c>
      <c r="C33" s="515"/>
      <c r="D33" s="420"/>
    </row>
    <row r="34" spans="1:4" ht="24.75" customHeight="1">
      <c r="A34" s="911" t="s">
        <v>1832</v>
      </c>
      <c r="B34" s="918"/>
      <c r="C34" s="515"/>
      <c r="D34" s="420"/>
    </row>
    <row r="35" spans="1:4" ht="25.5" customHeight="1">
      <c r="A35" s="911" t="s">
        <v>2053</v>
      </c>
      <c r="B35" s="910">
        <v>3</v>
      </c>
      <c r="C35" s="515"/>
      <c r="D35" s="420"/>
    </row>
    <row r="36" spans="1:4" ht="14.25" customHeight="1">
      <c r="A36" s="911" t="s">
        <v>2055</v>
      </c>
      <c r="B36" s="910">
        <v>10</v>
      </c>
      <c r="C36" s="515"/>
      <c r="D36" s="420"/>
    </row>
    <row r="37" spans="1:4" ht="23.25" customHeight="1">
      <c r="A37" s="911" t="s">
        <v>1863</v>
      </c>
      <c r="B37" s="910">
        <v>3</v>
      </c>
      <c r="C37" s="515"/>
      <c r="D37" s="420"/>
    </row>
    <row r="38" spans="1:4" ht="21.75" customHeight="1">
      <c r="A38" s="911" t="s">
        <v>1833</v>
      </c>
      <c r="B38" s="913"/>
      <c r="C38" s="515"/>
      <c r="D38" s="420"/>
    </row>
    <row r="39" spans="1:4">
      <c r="A39" s="911" t="s">
        <v>2056</v>
      </c>
      <c r="B39" s="910">
        <v>20</v>
      </c>
      <c r="C39" s="515"/>
      <c r="D39" s="420"/>
    </row>
    <row r="40" spans="1:4" ht="28.5" customHeight="1">
      <c r="A40" s="911" t="s">
        <v>2057</v>
      </c>
      <c r="B40" s="910">
        <v>5</v>
      </c>
      <c r="C40" s="515"/>
      <c r="D40" s="420"/>
    </row>
    <row r="41" spans="1:4">
      <c r="A41" s="911" t="s">
        <v>1834</v>
      </c>
      <c r="B41" s="913"/>
      <c r="C41" s="515"/>
      <c r="D41" s="420"/>
    </row>
    <row r="42" spans="1:4">
      <c r="A42" s="911" t="s">
        <v>2058</v>
      </c>
      <c r="B42" s="910">
        <v>5</v>
      </c>
      <c r="C42" s="515"/>
      <c r="D42" s="874"/>
    </row>
    <row r="43" spans="1:4" ht="21" customHeight="1">
      <c r="A43" s="911" t="s">
        <v>2061</v>
      </c>
      <c r="B43" s="910">
        <v>2</v>
      </c>
      <c r="C43" s="515"/>
      <c r="D43" s="420"/>
    </row>
    <row r="44" spans="1:4">
      <c r="A44" s="911" t="s">
        <v>1835</v>
      </c>
      <c r="B44" s="913"/>
      <c r="C44" s="515"/>
      <c r="D44" s="420"/>
    </row>
    <row r="45" spans="1:4">
      <c r="A45" s="911" t="s">
        <v>2059</v>
      </c>
      <c r="B45" s="910" t="s">
        <v>1864</v>
      </c>
      <c r="C45" s="515"/>
      <c r="D45" s="420"/>
    </row>
    <row r="46" spans="1:4" ht="28.5" customHeight="1">
      <c r="A46" s="911" t="s">
        <v>2060</v>
      </c>
      <c r="B46" s="910" t="s">
        <v>1865</v>
      </c>
      <c r="C46" s="515"/>
      <c r="D46" s="420"/>
    </row>
    <row r="47" spans="1:4">
      <c r="A47" s="911" t="s">
        <v>1836</v>
      </c>
      <c r="B47" s="910" t="s">
        <v>1867</v>
      </c>
      <c r="C47" s="515"/>
      <c r="D47" s="420"/>
    </row>
    <row r="48" spans="1:4" ht="24" customHeight="1">
      <c r="A48" s="911" t="s">
        <v>1866</v>
      </c>
      <c r="B48" s="910" t="s">
        <v>1868</v>
      </c>
      <c r="C48" s="515"/>
      <c r="D48" s="420"/>
    </row>
    <row r="49" spans="1:7" ht="15" customHeight="1">
      <c r="A49" s="912" t="s">
        <v>1837</v>
      </c>
      <c r="B49" s="918"/>
      <c r="C49" s="515"/>
      <c r="D49" s="420"/>
    </row>
    <row r="50" spans="1:7">
      <c r="A50" s="911" t="s">
        <v>1869</v>
      </c>
      <c r="B50" s="910" t="s">
        <v>1870</v>
      </c>
      <c r="C50" s="515"/>
      <c r="D50" s="420"/>
    </row>
    <row r="51" spans="1:7">
      <c r="A51" s="911" t="s">
        <v>1871</v>
      </c>
      <c r="B51" s="910" t="s">
        <v>1872</v>
      </c>
      <c r="C51" s="515"/>
      <c r="D51" s="420"/>
    </row>
    <row r="52" spans="1:7">
      <c r="A52" s="912" t="s">
        <v>1838</v>
      </c>
      <c r="B52" s="913"/>
      <c r="C52" s="515"/>
      <c r="D52" s="420"/>
    </row>
    <row r="53" spans="1:7" ht="15.75" thickBot="1">
      <c r="A53" s="919" t="s">
        <v>1848</v>
      </c>
      <c r="B53" s="920" t="s">
        <v>1870</v>
      </c>
      <c r="C53" s="515"/>
      <c r="D53" s="420"/>
    </row>
    <row r="54" spans="1:7">
      <c r="B54" s="866"/>
      <c r="C54" s="515"/>
      <c r="D54" s="420"/>
    </row>
    <row r="55" spans="1:7" ht="24" customHeight="1" thickBot="1">
      <c r="A55" s="890"/>
      <c r="B55" s="875"/>
      <c r="C55" s="515"/>
      <c r="D55" s="420"/>
    </row>
    <row r="56" spans="1:7" ht="18" customHeight="1" thickBot="1">
      <c r="A56" s="2562" t="s">
        <v>2007</v>
      </c>
      <c r="B56" s="2563"/>
      <c r="C56" s="870"/>
      <c r="D56" s="420"/>
      <c r="F56" s="866"/>
      <c r="G56" s="866"/>
    </row>
    <row r="57" spans="1:7" ht="16.5" customHeight="1" thickBot="1">
      <c r="A57" s="2564" t="s">
        <v>2008</v>
      </c>
      <c r="B57" s="2565"/>
      <c r="C57" s="870"/>
      <c r="D57" s="420"/>
      <c r="G57" s="866"/>
    </row>
    <row r="58" spans="1:7" ht="18" customHeight="1" thickBot="1">
      <c r="A58" s="941" t="s">
        <v>2009</v>
      </c>
      <c r="B58" s="942" t="s">
        <v>2010</v>
      </c>
      <c r="C58" s="870"/>
      <c r="D58" s="420"/>
      <c r="G58" s="866"/>
    </row>
    <row r="59" spans="1:7" ht="17.25" customHeight="1" thickBot="1">
      <c r="A59" s="924" t="s">
        <v>2011</v>
      </c>
      <c r="B59" s="943" t="s">
        <v>2012</v>
      </c>
      <c r="C59" s="870"/>
      <c r="D59" s="420"/>
      <c r="G59" s="866"/>
    </row>
    <row r="60" spans="1:7" ht="17.25" customHeight="1" thickBot="1">
      <c r="A60" s="2566" t="s">
        <v>2013</v>
      </c>
      <c r="B60" s="2567"/>
      <c r="C60" s="515"/>
      <c r="D60" s="420"/>
      <c r="F60" s="866"/>
      <c r="G60" s="866"/>
    </row>
    <row r="61" spans="1:7">
      <c r="A61" s="931" t="s">
        <v>2014</v>
      </c>
      <c r="B61" s="932" t="s">
        <v>2015</v>
      </c>
      <c r="C61" s="515"/>
      <c r="D61" s="420"/>
      <c r="F61" s="866"/>
      <c r="G61" s="866"/>
    </row>
    <row r="62" spans="1:7" ht="28.5" customHeight="1" thickBot="1">
      <c r="A62" s="933" t="s">
        <v>2016</v>
      </c>
      <c r="B62" s="934" t="s">
        <v>2017</v>
      </c>
      <c r="C62" s="515"/>
      <c r="D62" s="420"/>
      <c r="G62" s="866"/>
    </row>
    <row r="63" spans="1:7" ht="24.75" customHeight="1" thickBot="1">
      <c r="A63" s="935" t="s">
        <v>2018</v>
      </c>
      <c r="B63" s="934" t="s">
        <v>2015</v>
      </c>
      <c r="C63" s="515"/>
      <c r="D63" s="876"/>
      <c r="G63" s="866"/>
    </row>
    <row r="64" spans="1:7" ht="20.25" customHeight="1" thickBot="1">
      <c r="A64" s="935" t="s">
        <v>2019</v>
      </c>
      <c r="B64" s="934" t="s">
        <v>2015</v>
      </c>
      <c r="C64" s="515"/>
      <c r="D64" s="420"/>
      <c r="G64" s="866"/>
    </row>
    <row r="65" spans="1:7" ht="23.25" customHeight="1" thickBot="1">
      <c r="A65" s="936" t="s">
        <v>2020</v>
      </c>
      <c r="B65" s="934" t="s">
        <v>2021</v>
      </c>
      <c r="C65" s="515"/>
      <c r="D65" s="420"/>
      <c r="G65" s="866"/>
    </row>
    <row r="66" spans="1:7" ht="15.75" thickBot="1">
      <c r="A66" s="935" t="s">
        <v>2022</v>
      </c>
      <c r="B66" s="934" t="s">
        <v>2015</v>
      </c>
      <c r="C66" s="62"/>
      <c r="D66" s="62"/>
      <c r="G66" s="866"/>
    </row>
    <row r="67" spans="1:7" ht="15.75" thickBot="1">
      <c r="A67" s="935" t="s">
        <v>2066</v>
      </c>
      <c r="B67" s="934" t="s">
        <v>2015</v>
      </c>
      <c r="G67" s="866"/>
    </row>
    <row r="68" spans="1:7" ht="15.75" thickBot="1">
      <c r="A68" s="935" t="s">
        <v>2023</v>
      </c>
      <c r="B68" s="921"/>
      <c r="G68" s="866"/>
    </row>
    <row r="69" spans="1:7" ht="15.75" thickBot="1">
      <c r="A69" s="935" t="s">
        <v>2024</v>
      </c>
      <c r="B69" s="934" t="s">
        <v>2021</v>
      </c>
      <c r="G69" s="510"/>
    </row>
    <row r="70" spans="1:7" ht="15.75" thickBot="1">
      <c r="A70" s="935" t="s">
        <v>2025</v>
      </c>
      <c r="B70" s="934" t="s">
        <v>2017</v>
      </c>
      <c r="G70" s="510"/>
    </row>
    <row r="71" spans="1:7" ht="15.75" thickBot="1">
      <c r="A71" s="935" t="s">
        <v>2026</v>
      </c>
      <c r="B71" s="934" t="s">
        <v>2021</v>
      </c>
      <c r="G71" s="510"/>
    </row>
    <row r="72" spans="1:7" ht="15.75" thickBot="1">
      <c r="A72" s="935" t="s">
        <v>2027</v>
      </c>
      <c r="B72" s="921"/>
      <c r="G72" s="510"/>
    </row>
    <row r="73" spans="1:7" ht="15.75" thickBot="1">
      <c r="A73" s="935" t="s">
        <v>2028</v>
      </c>
      <c r="B73" s="934" t="s">
        <v>2029</v>
      </c>
    </row>
    <row r="74" spans="1:7" ht="15.75" thickBot="1">
      <c r="A74" s="935" t="s">
        <v>2030</v>
      </c>
      <c r="B74" s="934" t="s">
        <v>2012</v>
      </c>
    </row>
    <row r="75" spans="1:7" ht="15.75" thickBot="1">
      <c r="A75" s="936" t="s">
        <v>2031</v>
      </c>
      <c r="B75" s="922"/>
    </row>
    <row r="76" spans="1:7" ht="15.75" thickBot="1">
      <c r="A76" s="937" t="s">
        <v>2032</v>
      </c>
      <c r="B76" s="934" t="s">
        <v>2033</v>
      </c>
    </row>
    <row r="77" spans="1:7" ht="15.75" thickBot="1">
      <c r="A77" s="935" t="s">
        <v>2069</v>
      </c>
      <c r="B77" s="934" t="s">
        <v>2034</v>
      </c>
    </row>
    <row r="78" spans="1:7" ht="15.75" thickBot="1">
      <c r="A78" s="937" t="s">
        <v>2035</v>
      </c>
      <c r="B78" s="934" t="s">
        <v>2036</v>
      </c>
    </row>
    <row r="79" spans="1:7" ht="15.75" thickBot="1">
      <c r="A79" s="938" t="s">
        <v>2037</v>
      </c>
      <c r="B79" s="934" t="s">
        <v>2038</v>
      </c>
    </row>
    <row r="80" spans="1:7" ht="15.75" thickBot="1">
      <c r="A80" s="936" t="s">
        <v>2039</v>
      </c>
      <c r="B80" s="921"/>
    </row>
    <row r="81" spans="1:2" ht="15.75" thickBot="1">
      <c r="A81" s="935" t="s">
        <v>2040</v>
      </c>
      <c r="B81" s="934" t="s">
        <v>2021</v>
      </c>
    </row>
    <row r="82" spans="1:2" ht="15.75" thickBot="1">
      <c r="A82" s="939" t="s">
        <v>2041</v>
      </c>
      <c r="B82" s="940" t="s">
        <v>2042</v>
      </c>
    </row>
    <row r="83" spans="1:2" ht="15.75" thickBot="1">
      <c r="A83" s="2566" t="s">
        <v>1827</v>
      </c>
      <c r="B83" s="2567"/>
    </row>
    <row r="84" spans="1:2" ht="15.75" thickBot="1">
      <c r="A84" s="929" t="s">
        <v>2043</v>
      </c>
      <c r="B84" s="930"/>
    </row>
    <row r="85" spans="1:2" ht="15.75" thickBot="1">
      <c r="A85" s="924" t="s">
        <v>2044</v>
      </c>
      <c r="B85" s="925" t="s">
        <v>2012</v>
      </c>
    </row>
    <row r="86" spans="1:2" ht="15.75" thickBot="1">
      <c r="A86" s="924" t="s">
        <v>2045</v>
      </c>
      <c r="B86" s="925" t="s">
        <v>2042</v>
      </c>
    </row>
    <row r="87" spans="1:2" ht="15.75" thickBot="1">
      <c r="A87" s="944" t="s">
        <v>2078</v>
      </c>
      <c r="B87" s="925" t="s">
        <v>2021</v>
      </c>
    </row>
    <row r="88" spans="1:2" ht="15.75" thickBot="1">
      <c r="A88" s="944" t="s">
        <v>2046</v>
      </c>
      <c r="B88" s="923"/>
    </row>
    <row r="89" spans="1:2" ht="15.75" thickBot="1">
      <c r="A89" s="924" t="s">
        <v>2047</v>
      </c>
      <c r="B89" s="925" t="s">
        <v>2015</v>
      </c>
    </row>
    <row r="90" spans="1:2" ht="15.75" thickBot="1">
      <c r="A90" s="924" t="s">
        <v>2048</v>
      </c>
      <c r="B90" s="925" t="s">
        <v>2012</v>
      </c>
    </row>
    <row r="91" spans="1:2" ht="15.75" thickBot="1">
      <c r="A91" s="944" t="s">
        <v>2049</v>
      </c>
      <c r="B91" s="925" t="s">
        <v>2015</v>
      </c>
    </row>
    <row r="92" spans="1:2" ht="15.75" thickBot="1">
      <c r="A92" s="945" t="s">
        <v>2050</v>
      </c>
      <c r="B92" s="946" t="s">
        <v>2012</v>
      </c>
    </row>
  </sheetData>
  <mergeCells count="4">
    <mergeCell ref="A56:B56"/>
    <mergeCell ref="A57:B57"/>
    <mergeCell ref="A60:B60"/>
    <mergeCell ref="A83:B83"/>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opLeftCell="A13" workbookViewId="0">
      <selection activeCell="E41" sqref="E41"/>
    </sheetView>
  </sheetViews>
  <sheetFormatPr defaultRowHeight="15"/>
  <cols>
    <col min="1" max="1" width="35.28515625" bestFit="1" customWidth="1"/>
    <col min="3" max="3" width="2.140625" customWidth="1"/>
    <col min="4" max="4" width="48.5703125" bestFit="1" customWidth="1"/>
    <col min="5" max="5" width="57.5703125" customWidth="1"/>
    <col min="6" max="6" width="5.28515625" customWidth="1"/>
    <col min="7" max="7" width="8.5703125" bestFit="1" customWidth="1"/>
    <col min="9" max="9" width="12.5703125" customWidth="1"/>
  </cols>
  <sheetData>
    <row r="1" spans="1:7">
      <c r="A1" s="891" t="s">
        <v>1</v>
      </c>
      <c r="B1" s="892" t="s">
        <v>1917</v>
      </c>
      <c r="C1" s="891"/>
      <c r="D1" s="891"/>
      <c r="E1" s="892"/>
      <c r="F1" s="892"/>
      <c r="G1" s="892"/>
    </row>
    <row r="2" spans="1:7">
      <c r="A2" s="891" t="s">
        <v>4</v>
      </c>
      <c r="B2" s="892" t="s">
        <v>676</v>
      </c>
      <c r="C2" s="891"/>
      <c r="D2" s="891"/>
      <c r="E2" s="892"/>
      <c r="F2" s="892"/>
      <c r="G2" s="892"/>
    </row>
    <row r="3" spans="1:7">
      <c r="A3" s="891" t="s">
        <v>2</v>
      </c>
      <c r="B3" s="892" t="s">
        <v>1918</v>
      </c>
      <c r="C3" s="891"/>
      <c r="D3" s="891"/>
      <c r="E3" s="892"/>
      <c r="F3" s="892"/>
      <c r="G3" s="892"/>
    </row>
    <row r="4" spans="1:7">
      <c r="A4" s="891"/>
      <c r="B4" s="893"/>
      <c r="C4" s="891"/>
      <c r="D4" s="891"/>
      <c r="E4" s="892"/>
      <c r="F4" s="892"/>
      <c r="G4" s="892"/>
    </row>
    <row r="5" spans="1:7">
      <c r="A5" s="2571" t="s">
        <v>1919</v>
      </c>
      <c r="B5" s="2571"/>
      <c r="C5" s="2571"/>
      <c r="D5" s="2571"/>
      <c r="E5" s="2571"/>
      <c r="F5" s="2571"/>
      <c r="G5" s="2571"/>
    </row>
    <row r="6" spans="1:7">
      <c r="A6" s="897" t="s">
        <v>1920</v>
      </c>
      <c r="B6" s="898"/>
      <c r="C6" s="877"/>
      <c r="D6" s="897" t="s">
        <v>9</v>
      </c>
      <c r="E6" s="897" t="s">
        <v>1921</v>
      </c>
      <c r="F6" s="897" t="s">
        <v>1922</v>
      </c>
      <c r="G6" s="897" t="s">
        <v>1923</v>
      </c>
    </row>
    <row r="7" spans="1:7">
      <c r="A7" s="901" t="s">
        <v>1924</v>
      </c>
      <c r="B7" s="958">
        <f>'[2]Memória de Dimensionamento'!U32</f>
        <v>1</v>
      </c>
      <c r="C7" s="877"/>
      <c r="D7" s="900" t="s">
        <v>1925</v>
      </c>
      <c r="E7" s="901" t="s">
        <v>1926</v>
      </c>
      <c r="F7" s="900" t="s">
        <v>49</v>
      </c>
      <c r="G7" s="902">
        <f>Lb*Cb*Pt</f>
        <v>19.855000000000004</v>
      </c>
    </row>
    <row r="8" spans="1:7">
      <c r="A8" s="901" t="s">
        <v>1927</v>
      </c>
      <c r="B8" s="958">
        <f>ETE+0.3</f>
        <v>1.3</v>
      </c>
      <c r="C8" s="877"/>
      <c r="D8" s="900" t="s">
        <v>1928</v>
      </c>
      <c r="E8" s="901" t="s">
        <v>1929</v>
      </c>
      <c r="F8" s="900" t="s">
        <v>48</v>
      </c>
      <c r="G8" s="902">
        <f>Lb*Cb</f>
        <v>9.0250000000000004</v>
      </c>
    </row>
    <row r="9" spans="1:7">
      <c r="A9" s="901" t="s">
        <v>1930</v>
      </c>
      <c r="B9" s="958">
        <f>'[2]Memória de Dimensionamento'!AA32</f>
        <v>2</v>
      </c>
      <c r="C9" s="877"/>
      <c r="D9" s="901" t="s">
        <v>1931</v>
      </c>
      <c r="E9" s="901" t="s">
        <v>1929</v>
      </c>
      <c r="F9" s="901" t="s">
        <v>48</v>
      </c>
      <c r="G9" s="902">
        <f>Lb*Cb</f>
        <v>9.0250000000000004</v>
      </c>
    </row>
    <row r="10" spans="1:7">
      <c r="A10" s="901" t="s">
        <v>1932</v>
      </c>
      <c r="B10" s="958">
        <f>'[2]Memória de Dimensionamento'!V60</f>
        <v>1.7000000000000002</v>
      </c>
      <c r="C10" s="877"/>
      <c r="D10" s="900" t="s">
        <v>1933</v>
      </c>
      <c r="E10" s="900" t="s">
        <v>1929</v>
      </c>
      <c r="F10" s="900" t="s">
        <v>48</v>
      </c>
      <c r="G10" s="902">
        <f>Lb*Cb</f>
        <v>9.0250000000000004</v>
      </c>
    </row>
    <row r="11" spans="1:7">
      <c r="A11" s="901" t="s">
        <v>1934</v>
      </c>
      <c r="B11" s="958">
        <f>CiFo+CiFi+3*0.15</f>
        <v>4.1500000000000004</v>
      </c>
      <c r="C11" s="877"/>
      <c r="D11" s="900" t="s">
        <v>1935</v>
      </c>
      <c r="E11" s="901" t="s">
        <v>1936</v>
      </c>
      <c r="F11" s="900" t="s">
        <v>49</v>
      </c>
      <c r="G11" s="902">
        <f>(Lb*Cb*Eb)+(Le*ESGOTO*ADELMO)</f>
        <v>1.4420000000000002</v>
      </c>
    </row>
    <row r="12" spans="1:7">
      <c r="A12" s="901" t="s">
        <v>1937</v>
      </c>
      <c r="B12" s="958">
        <v>1.6</v>
      </c>
      <c r="C12" s="877"/>
      <c r="D12" s="900" t="s">
        <v>1938</v>
      </c>
      <c r="E12" s="901" t="s">
        <v>1939</v>
      </c>
      <c r="F12" s="901" t="s">
        <v>48</v>
      </c>
      <c r="G12" s="902">
        <f>Le*ESGOTO</f>
        <v>5.3950000000000005</v>
      </c>
    </row>
    <row r="13" spans="1:7">
      <c r="A13" s="901" t="s">
        <v>1940</v>
      </c>
      <c r="B13" s="958">
        <v>0.1</v>
      </c>
      <c r="C13" s="877"/>
      <c r="D13" s="900" t="s">
        <v>1941</v>
      </c>
      <c r="E13" s="900" t="s">
        <v>1942</v>
      </c>
      <c r="F13" s="900" t="s">
        <v>72</v>
      </c>
      <c r="G13" s="902">
        <f>(Le*ESGOTO*ADELMO)*70</f>
        <v>37.765000000000008</v>
      </c>
    </row>
    <row r="14" spans="1:7">
      <c r="A14" s="901" t="s">
        <v>1943</v>
      </c>
      <c r="B14" s="958">
        <f>(Le+0.6)</f>
        <v>1.9</v>
      </c>
      <c r="C14" s="877"/>
      <c r="D14" s="900" t="s">
        <v>1944</v>
      </c>
      <c r="E14" s="900" t="s">
        <v>1945</v>
      </c>
      <c r="F14" s="900" t="s">
        <v>48</v>
      </c>
      <c r="G14" s="903">
        <f>((ETE*3)+(ESGOTO*2))*CFO</f>
        <v>18.080000000000002</v>
      </c>
    </row>
    <row r="15" spans="1:7" ht="30">
      <c r="A15" s="901" t="s">
        <v>1946</v>
      </c>
      <c r="B15" s="958">
        <f>ESGOTO+0.6</f>
        <v>4.75</v>
      </c>
      <c r="C15" s="877"/>
      <c r="D15" s="900" t="s">
        <v>1947</v>
      </c>
      <c r="E15" s="904" t="s">
        <v>1948</v>
      </c>
      <c r="F15" s="900" t="s">
        <v>48</v>
      </c>
      <c r="G15" s="903">
        <f>(((ETE*4)+(CiFo*2)+(CiFi*2))*CFO)+(ETE*(CiFo+CiFi))+(PI()*KKKKKK*Hch*4)</f>
        <v>24.955928947446203</v>
      </c>
    </row>
    <row r="16" spans="1:7">
      <c r="A16" s="901" t="s">
        <v>1949</v>
      </c>
      <c r="B16" s="958">
        <v>0.1</v>
      </c>
      <c r="C16" s="877"/>
      <c r="D16" s="900" t="s">
        <v>1950</v>
      </c>
      <c r="E16" s="900" t="s">
        <v>1951</v>
      </c>
      <c r="F16" s="900" t="s">
        <v>48</v>
      </c>
      <c r="G16" s="903">
        <f>(((PI()*(KKKKKK+0.1)^2)/4)*Hch)*4</f>
        <v>0.61575216010359934</v>
      </c>
    </row>
    <row r="17" spans="1:9">
      <c r="A17" s="901" t="s">
        <v>1952</v>
      </c>
      <c r="B17" s="958">
        <f>Le</f>
        <v>1.3</v>
      </c>
      <c r="C17" s="877"/>
      <c r="D17" s="952" t="s">
        <v>2107</v>
      </c>
      <c r="E17" s="949" t="s">
        <v>1954</v>
      </c>
      <c r="F17" s="900" t="s">
        <v>1731</v>
      </c>
      <c r="G17" s="903">
        <v>4</v>
      </c>
    </row>
    <row r="18" spans="1:9">
      <c r="A18" s="901" t="s">
        <v>1955</v>
      </c>
      <c r="B18" s="958">
        <f>ESGOTO</f>
        <v>4.1500000000000004</v>
      </c>
      <c r="C18" s="877"/>
      <c r="D18" s="2572" t="s">
        <v>1956</v>
      </c>
      <c r="E18" s="2573" t="s">
        <v>1957</v>
      </c>
      <c r="F18" s="2572" t="s">
        <v>49</v>
      </c>
      <c r="G18" s="2574">
        <f>(Lb*Cb*Pt)-(Lb*Cb*Eb)-(Le*ESGOTO*(CFO+ADELMO))-(((PI()*(KKKKKK+0.2)^2)/4)*4)</f>
        <v>7.7703807017025346</v>
      </c>
    </row>
    <row r="19" spans="1:9">
      <c r="A19" s="901" t="s">
        <v>1958</v>
      </c>
      <c r="B19" s="958">
        <v>0.4</v>
      </c>
      <c r="C19" s="877"/>
      <c r="D19" s="2572"/>
      <c r="E19" s="2573"/>
      <c r="F19" s="2572"/>
      <c r="G19" s="2574"/>
    </row>
    <row r="20" spans="1:9">
      <c r="A20" s="901" t="s">
        <v>1959</v>
      </c>
      <c r="B20" s="958">
        <v>0.6</v>
      </c>
      <c r="C20" s="877"/>
      <c r="D20" s="900" t="s">
        <v>1960</v>
      </c>
      <c r="E20" s="900" t="s">
        <v>1961</v>
      </c>
      <c r="F20" s="901" t="s">
        <v>49</v>
      </c>
      <c r="G20" s="902">
        <f>G7-G18</f>
        <v>12.084619298297469</v>
      </c>
    </row>
    <row r="21" spans="1:9">
      <c r="A21" s="901" t="s">
        <v>1962</v>
      </c>
      <c r="B21" s="958">
        <f>Hch+ADELMO+CFO+Eb</f>
        <v>2.2000000000000002</v>
      </c>
      <c r="C21" s="877"/>
      <c r="D21" s="900" t="s">
        <v>1963</v>
      </c>
      <c r="E21" s="900" t="s">
        <v>1929</v>
      </c>
      <c r="F21" s="900" t="s">
        <v>48</v>
      </c>
      <c r="G21" s="902">
        <f>Lb*Cb</f>
        <v>9.0250000000000004</v>
      </c>
      <c r="I21" s="957" t="s">
        <v>2105</v>
      </c>
    </row>
    <row r="22" spans="1:9">
      <c r="A22" s="901" t="s">
        <v>1964</v>
      </c>
      <c r="B22" s="958">
        <v>0.8</v>
      </c>
      <c r="C22" s="877"/>
      <c r="D22" s="900" t="s">
        <v>1965</v>
      </c>
      <c r="E22" s="900" t="s">
        <v>1966</v>
      </c>
      <c r="F22" s="900" t="s">
        <v>49</v>
      </c>
      <c r="G22" s="903">
        <f>0.1*0.1*1.7*3</f>
        <v>5.1000000000000004E-2</v>
      </c>
    </row>
    <row r="23" spans="1:9">
      <c r="A23" s="877"/>
      <c r="B23" s="877"/>
      <c r="C23" s="877"/>
      <c r="D23" s="900" t="s">
        <v>1967</v>
      </c>
      <c r="E23" s="900" t="s">
        <v>1968</v>
      </c>
      <c r="F23" s="900" t="s">
        <v>49</v>
      </c>
      <c r="G23" s="900">
        <f>ETE*CiFi*ACF</f>
        <v>1.3600000000000003</v>
      </c>
      <c r="I23" s="957" t="s">
        <v>2104</v>
      </c>
    </row>
    <row r="24" spans="1:9">
      <c r="D24" s="894"/>
      <c r="E24" s="894"/>
      <c r="F24" s="895"/>
      <c r="G24" s="896"/>
    </row>
    <row r="25" spans="1:9">
      <c r="A25" s="2570" t="s">
        <v>1969</v>
      </c>
      <c r="B25" s="2570"/>
      <c r="C25" s="2570"/>
      <c r="D25" s="2570"/>
      <c r="E25" s="2570"/>
      <c r="F25" s="2570"/>
      <c r="G25" s="2570"/>
    </row>
    <row r="26" spans="1:9">
      <c r="A26" s="897" t="s">
        <v>1920</v>
      </c>
      <c r="B26" s="898"/>
      <c r="C26" s="877"/>
      <c r="D26" s="897" t="s">
        <v>9</v>
      </c>
      <c r="E26" s="897" t="s">
        <v>1921</v>
      </c>
      <c r="F26" s="897" t="s">
        <v>1922</v>
      </c>
      <c r="G26" s="897" t="s">
        <v>1923</v>
      </c>
    </row>
    <row r="27" spans="1:9">
      <c r="A27" s="898" t="s">
        <v>1970</v>
      </c>
      <c r="B27" s="899">
        <f>'[2]Memória de Dimensionamento'!H75</f>
        <v>1.8</v>
      </c>
      <c r="C27" s="877"/>
      <c r="D27" s="952" t="s">
        <v>1925</v>
      </c>
      <c r="E27" s="901" t="s">
        <v>1971</v>
      </c>
      <c r="F27" s="952" t="s">
        <v>49</v>
      </c>
      <c r="G27" s="902">
        <f>((PI()*(DIs+0.2)^2)/4)*Pts</f>
        <v>9.1106186954104</v>
      </c>
    </row>
    <row r="28" spans="1:9">
      <c r="A28" s="898" t="s">
        <v>1972</v>
      </c>
      <c r="B28" s="899">
        <f>DIs+0.4</f>
        <v>2.2000000000000002</v>
      </c>
      <c r="C28" s="877"/>
      <c r="D28" s="952" t="s">
        <v>1973</v>
      </c>
      <c r="E28" s="901" t="s">
        <v>1974</v>
      </c>
      <c r="F28" s="952" t="s">
        <v>48</v>
      </c>
      <c r="G28" s="902">
        <f>(((PI()*(DIs+0.2))*(0.2*3)))*2</f>
        <v>7.5398223686155044</v>
      </c>
    </row>
    <row r="29" spans="1:9">
      <c r="A29" s="898" t="s">
        <v>1975</v>
      </c>
      <c r="B29" s="899">
        <f>'[2]Memória de Dimensionamento'!M75</f>
        <v>2.4</v>
      </c>
      <c r="C29" s="877"/>
      <c r="D29" s="952" t="s">
        <v>1976</v>
      </c>
      <c r="E29" s="901" t="s">
        <v>1977</v>
      </c>
      <c r="F29" s="901" t="s">
        <v>48</v>
      </c>
      <c r="G29" s="902">
        <f>(PI()*(DIs+0.4)^2)/4</f>
        <v>3.8013271108436504</v>
      </c>
    </row>
    <row r="30" spans="1:9" ht="30">
      <c r="A30" s="898" t="s">
        <v>1978</v>
      </c>
      <c r="B30" s="899">
        <v>0.1</v>
      </c>
      <c r="C30" s="877"/>
      <c r="D30" s="952" t="s">
        <v>1979</v>
      </c>
      <c r="E30" s="971" t="s">
        <v>1980</v>
      </c>
      <c r="F30" s="952" t="s">
        <v>49</v>
      </c>
      <c r="G30" s="902">
        <f>(((PI()*(DIs+0.2))*(0.2*0.2)))*2+(((PI()*(DIs+0.2)^2)/4)*Ets)</f>
        <v>0.81681408993334625</v>
      </c>
    </row>
    <row r="31" spans="1:9" ht="30">
      <c r="A31" s="898" t="s">
        <v>1981</v>
      </c>
      <c r="B31" s="899">
        <v>0.4</v>
      </c>
      <c r="C31" s="877"/>
      <c r="D31" s="967" t="s">
        <v>1982</v>
      </c>
      <c r="E31" s="968" t="s">
        <v>1983</v>
      </c>
      <c r="F31" s="969" t="s">
        <v>1731</v>
      </c>
      <c r="G31" s="970">
        <f>ROUNDUP((4466/25)*((PI()*(DIs+0.2)^2)/4)*His,0)</f>
        <v>1347</v>
      </c>
    </row>
    <row r="32" spans="1:9" ht="30">
      <c r="A32" s="898" t="s">
        <v>1984</v>
      </c>
      <c r="B32" s="899">
        <v>0.6</v>
      </c>
      <c r="C32" s="877"/>
      <c r="D32" s="967" t="s">
        <v>1985</v>
      </c>
      <c r="E32" s="968" t="s">
        <v>1986</v>
      </c>
      <c r="F32" s="969" t="s">
        <v>49</v>
      </c>
      <c r="G32" s="970">
        <f>(1.72/4466)*G31</f>
        <v>0.51877295118674427</v>
      </c>
    </row>
    <row r="33" spans="1:7">
      <c r="A33" s="898" t="s">
        <v>1987</v>
      </c>
      <c r="B33" s="899">
        <f>His+Ets+Hcs</f>
        <v>2.9</v>
      </c>
      <c r="C33" s="877"/>
      <c r="D33" s="952" t="s">
        <v>1941</v>
      </c>
      <c r="E33" s="953" t="s">
        <v>1988</v>
      </c>
      <c r="F33" s="952" t="s">
        <v>72</v>
      </c>
      <c r="G33" s="902">
        <f>(((PI()*(DIs+0.4)^2)/4)*Ets)*70</f>
        <v>26.609289775905555</v>
      </c>
    </row>
    <row r="34" spans="1:7">
      <c r="A34" s="877"/>
      <c r="B34" s="877"/>
      <c r="C34" s="877"/>
      <c r="D34" s="952" t="s">
        <v>1947</v>
      </c>
      <c r="E34" s="952" t="s">
        <v>1989</v>
      </c>
      <c r="F34" s="952" t="s">
        <v>48</v>
      </c>
      <c r="G34" s="954">
        <f>(PI()*Dcs*Hcs)</f>
        <v>0.75398223686155041</v>
      </c>
    </row>
    <row r="35" spans="1:7">
      <c r="A35" s="955" t="s">
        <v>2135</v>
      </c>
      <c r="B35" s="877"/>
      <c r="C35" s="877"/>
      <c r="D35" s="952" t="s">
        <v>1950</v>
      </c>
      <c r="E35" s="952" t="s">
        <v>1990</v>
      </c>
      <c r="F35" s="952" t="s">
        <v>48</v>
      </c>
      <c r="G35" s="954">
        <f>(PI()*(Dcs+0.1)*Hcs)</f>
        <v>0.87964594300514209</v>
      </c>
    </row>
    <row r="36" spans="1:7">
      <c r="A36" s="877" t="s">
        <v>2136</v>
      </c>
      <c r="B36" s="877"/>
      <c r="C36" s="877"/>
      <c r="D36" s="952" t="s">
        <v>1953</v>
      </c>
      <c r="E36" s="952" t="s">
        <v>1991</v>
      </c>
      <c r="F36" s="952" t="s">
        <v>1731</v>
      </c>
      <c r="G36" s="954">
        <v>1</v>
      </c>
    </row>
    <row r="37" spans="1:7" ht="30">
      <c r="A37" s="972" t="s">
        <v>2138</v>
      </c>
      <c r="B37" s="877"/>
      <c r="C37" s="877"/>
      <c r="D37" s="967" t="s">
        <v>530</v>
      </c>
      <c r="E37" s="968" t="s">
        <v>1992</v>
      </c>
      <c r="F37" s="969" t="s">
        <v>59</v>
      </c>
      <c r="G37" s="970">
        <f>(64.587/4466)*G31</f>
        <v>19.480225929243172</v>
      </c>
    </row>
    <row r="38" spans="1:7" ht="30">
      <c r="A38" s="877"/>
      <c r="B38" s="877"/>
      <c r="C38" s="877"/>
      <c r="D38" s="967" t="s">
        <v>1993</v>
      </c>
      <c r="E38" s="968" t="s">
        <v>1992</v>
      </c>
      <c r="F38" s="969" t="s">
        <v>59</v>
      </c>
      <c r="G38" s="970">
        <f>(64.587/4466)*G31</f>
        <v>19.480225929243172</v>
      </c>
    </row>
    <row r="39" spans="1:7" ht="15.75" thickBot="1">
      <c r="A39" s="877"/>
      <c r="B39" s="877"/>
      <c r="C39" s="877"/>
      <c r="D39" s="952" t="s">
        <v>1994</v>
      </c>
      <c r="E39" s="953" t="s">
        <v>1995</v>
      </c>
      <c r="F39" s="952" t="s">
        <v>49</v>
      </c>
      <c r="G39" s="902">
        <f>((PI()*DIs^2)/4)*0.3</f>
        <v>0.76340701482231976</v>
      </c>
    </row>
    <row r="40" spans="1:7" ht="39.75" customHeight="1" thickBot="1">
      <c r="D40" s="2074" t="s">
        <v>2200</v>
      </c>
      <c r="E40" s="2075"/>
      <c r="F40" s="2568" t="s">
        <v>2201</v>
      </c>
      <c r="G40" s="2569"/>
    </row>
  </sheetData>
  <mergeCells count="8">
    <mergeCell ref="D40:E40"/>
    <mergeCell ref="F40:G40"/>
    <mergeCell ref="A25:G25"/>
    <mergeCell ref="A5:G5"/>
    <mergeCell ref="D18:D19"/>
    <mergeCell ref="E18:E19"/>
    <mergeCell ref="F18:F19"/>
    <mergeCell ref="G18:G19"/>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7" workbookViewId="0">
      <selection activeCell="E12" sqref="E12"/>
    </sheetView>
  </sheetViews>
  <sheetFormatPr defaultRowHeight="15"/>
  <cols>
    <col min="1" max="1" width="40.140625" customWidth="1"/>
    <col min="2" max="2" width="29.140625" customWidth="1"/>
    <col min="3" max="3" width="14" customWidth="1"/>
  </cols>
  <sheetData>
    <row r="1" spans="1:3" ht="15.75">
      <c r="A1" s="2579"/>
      <c r="B1" s="2580"/>
      <c r="C1" s="2581"/>
    </row>
    <row r="2" spans="1:3">
      <c r="A2" s="2582" t="s">
        <v>135</v>
      </c>
      <c r="B2" s="2583"/>
      <c r="C2" s="2584"/>
    </row>
    <row r="3" spans="1:3">
      <c r="A3" s="2585" t="s">
        <v>136</v>
      </c>
      <c r="B3" s="2586"/>
      <c r="C3" s="2587"/>
    </row>
    <row r="4" spans="1:3" ht="15.75" thickBot="1">
      <c r="A4" s="310"/>
      <c r="B4" s="311"/>
      <c r="C4" s="312"/>
    </row>
    <row r="5" spans="1:3" ht="30.75" customHeight="1">
      <c r="A5" s="2588" t="s">
        <v>192</v>
      </c>
      <c r="B5" s="2589"/>
      <c r="C5" s="2590"/>
    </row>
    <row r="6" spans="1:3" ht="15.75">
      <c r="A6" s="266"/>
      <c r="B6" s="267"/>
      <c r="C6" s="268"/>
    </row>
    <row r="7" spans="1:3">
      <c r="A7" s="269"/>
      <c r="B7" s="270" t="s">
        <v>147</v>
      </c>
      <c r="C7" s="271">
        <v>42339</v>
      </c>
    </row>
    <row r="8" spans="1:3" ht="15.75" thickBot="1">
      <c r="A8" s="269"/>
      <c r="B8" s="272"/>
      <c r="C8" s="271"/>
    </row>
    <row r="9" spans="1:3" ht="15.75" thickBot="1">
      <c r="A9" s="2575" t="s">
        <v>148</v>
      </c>
      <c r="B9" s="2576"/>
      <c r="C9" s="273" t="s">
        <v>32</v>
      </c>
    </row>
    <row r="10" spans="1:3">
      <c r="A10" s="274" t="s">
        <v>149</v>
      </c>
      <c r="B10" s="275"/>
      <c r="C10" s="276">
        <v>0.04</v>
      </c>
    </row>
    <row r="11" spans="1:3">
      <c r="A11" s="277" t="s">
        <v>150</v>
      </c>
      <c r="B11" s="278"/>
      <c r="C11" s="279">
        <v>1.23E-2</v>
      </c>
    </row>
    <row r="12" spans="1:3">
      <c r="A12" s="277" t="s">
        <v>151</v>
      </c>
      <c r="B12" s="278"/>
      <c r="C12" s="279">
        <v>1.2699999999999999E-2</v>
      </c>
    </row>
    <row r="13" spans="1:3" ht="15.75" thickBot="1">
      <c r="A13" s="280" t="s">
        <v>152</v>
      </c>
      <c r="B13" s="281"/>
      <c r="C13" s="282">
        <v>8.0000000000000002E-3</v>
      </c>
    </row>
    <row r="14" spans="1:3" ht="15.75" thickBot="1">
      <c r="A14" s="283"/>
      <c r="B14" s="284" t="s">
        <v>153</v>
      </c>
      <c r="C14" s="285">
        <f>SUM(C10:C13)</f>
        <v>7.3000000000000009E-2</v>
      </c>
    </row>
    <row r="15" spans="1:3" ht="15.75" thickBot="1">
      <c r="A15" s="2575" t="s">
        <v>154</v>
      </c>
      <c r="B15" s="2576"/>
      <c r="C15" s="273" t="s">
        <v>32</v>
      </c>
    </row>
    <row r="16" spans="1:3" ht="15.75" thickBot="1">
      <c r="A16" s="277" t="s">
        <v>155</v>
      </c>
      <c r="B16" s="278"/>
      <c r="C16" s="286">
        <v>7.3999999999999996E-2</v>
      </c>
    </row>
    <row r="17" spans="1:4" ht="15.75" thickBot="1">
      <c r="A17" s="283"/>
      <c r="B17" s="284" t="s">
        <v>153</v>
      </c>
      <c r="C17" s="285">
        <f>SUM(C16)</f>
        <v>7.3999999999999996E-2</v>
      </c>
    </row>
    <row r="18" spans="1:4" ht="15.75" thickBot="1">
      <c r="A18" s="2575"/>
      <c r="B18" s="2576"/>
      <c r="C18" s="285"/>
    </row>
    <row r="19" spans="1:4" ht="15.75" thickBot="1">
      <c r="A19" s="2575" t="s">
        <v>156</v>
      </c>
      <c r="B19" s="2576"/>
      <c r="C19" s="273" t="s">
        <v>32</v>
      </c>
    </row>
    <row r="20" spans="1:4">
      <c r="A20" s="277" t="s">
        <v>157</v>
      </c>
      <c r="B20" s="287"/>
      <c r="C20" s="279">
        <v>6.4999999999999997E-3</v>
      </c>
    </row>
    <row r="21" spans="1:4">
      <c r="A21" s="277" t="s">
        <v>158</v>
      </c>
      <c r="B21" s="287"/>
      <c r="C21" s="279">
        <v>0.03</v>
      </c>
    </row>
    <row r="22" spans="1:4" ht="15.75" thickBot="1">
      <c r="A22" s="277" t="s">
        <v>159</v>
      </c>
      <c r="B22" s="287"/>
      <c r="C22" s="279">
        <v>0.02</v>
      </c>
    </row>
    <row r="23" spans="1:4" ht="15.75" thickBot="1">
      <c r="A23" s="283"/>
      <c r="B23" s="284" t="s">
        <v>153</v>
      </c>
      <c r="C23" s="285">
        <f>SUM(C20:C22)</f>
        <v>5.6499999999999995E-2</v>
      </c>
    </row>
    <row r="24" spans="1:4" ht="15.75" thickBot="1">
      <c r="A24" s="283"/>
      <c r="B24" s="288"/>
      <c r="C24" s="289"/>
    </row>
    <row r="25" spans="1:4">
      <c r="A25" s="2577"/>
      <c r="B25" s="2578"/>
      <c r="C25" s="290"/>
      <c r="D25" s="308">
        <f>(1+C10+C12+C13)*(1+C11)*(1+C16)</f>
        <v>1.15320385914</v>
      </c>
    </row>
    <row r="26" spans="1:4" ht="25.5" customHeight="1" thickBot="1">
      <c r="A26" s="291"/>
      <c r="B26" s="292" t="s">
        <v>160</v>
      </c>
      <c r="C26" s="293">
        <f>(D25/D26)-1</f>
        <v>0.22226164190779008</v>
      </c>
      <c r="D26" s="308">
        <f>(1-C23)</f>
        <v>0.94350000000000001</v>
      </c>
    </row>
  </sheetData>
  <mergeCells count="9">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abSelected="1" workbookViewId="0">
      <selection activeCell="B8" sqref="B8:C8"/>
    </sheetView>
  </sheetViews>
  <sheetFormatPr defaultRowHeight="15"/>
  <cols>
    <col min="1" max="1" width="18.28515625" customWidth="1"/>
    <col min="2" max="2" width="15.85546875" customWidth="1"/>
    <col min="3" max="3" width="55.42578125" customWidth="1"/>
    <col min="4" max="4" width="15.140625" customWidth="1"/>
    <col min="5" max="5" width="10.85546875" customWidth="1"/>
    <col min="6" max="6" width="11.28515625" customWidth="1"/>
    <col min="7" max="7" width="10.5703125" customWidth="1"/>
    <col min="8" max="8" width="12" customWidth="1"/>
    <col min="9" max="9" width="15" customWidth="1"/>
  </cols>
  <sheetData>
    <row r="1" spans="1:9" ht="19.5" customHeight="1">
      <c r="A1" s="74"/>
      <c r="B1" s="55"/>
      <c r="C1" s="1331"/>
      <c r="D1" s="1332"/>
      <c r="E1" s="1333"/>
      <c r="F1" s="72"/>
      <c r="G1" s="72"/>
      <c r="H1" s="58"/>
      <c r="I1" s="58"/>
    </row>
    <row r="2" spans="1:9" ht="18.75" customHeight="1">
      <c r="A2" s="2057" t="s">
        <v>135</v>
      </c>
      <c r="B2" s="2040"/>
      <c r="C2" s="2040"/>
      <c r="D2" s="2040"/>
      <c r="E2" s="2058"/>
      <c r="F2" s="72"/>
      <c r="G2" s="72"/>
      <c r="H2" s="58"/>
      <c r="I2" s="58"/>
    </row>
    <row r="3" spans="1:9" ht="15.75" customHeight="1">
      <c r="A3" s="2057" t="s">
        <v>136</v>
      </c>
      <c r="B3" s="2040"/>
      <c r="C3" s="2040"/>
      <c r="D3" s="2040"/>
      <c r="E3" s="2058"/>
      <c r="F3" s="73"/>
      <c r="G3" s="73"/>
      <c r="H3" s="58"/>
      <c r="I3" s="58"/>
    </row>
    <row r="4" spans="1:9" ht="15.75" customHeight="1">
      <c r="A4" s="64"/>
      <c r="B4" s="65"/>
      <c r="C4" s="33" t="s">
        <v>213</v>
      </c>
      <c r="D4" s="70"/>
      <c r="E4" s="113"/>
      <c r="F4" s="70"/>
      <c r="G4" s="70"/>
      <c r="H4" s="58"/>
      <c r="I4" s="58"/>
    </row>
    <row r="5" spans="1:9" ht="17.25" customHeight="1">
      <c r="A5" s="64"/>
      <c r="B5" s="65"/>
      <c r="C5" s="69"/>
      <c r="D5" s="70"/>
      <c r="E5" s="113"/>
      <c r="F5" s="70"/>
      <c r="G5" s="70"/>
      <c r="H5" s="58"/>
      <c r="I5" s="58"/>
    </row>
    <row r="6" spans="1:9" ht="16.5" customHeight="1" thickBot="1">
      <c r="A6" s="1334"/>
      <c r="B6" s="1335"/>
      <c r="C6" s="1336"/>
      <c r="D6" s="1337"/>
      <c r="E6" s="1338"/>
      <c r="F6" s="70"/>
      <c r="G6" s="70"/>
      <c r="H6" s="58"/>
      <c r="I6" s="58"/>
    </row>
    <row r="7" spans="1:9" ht="17.25" customHeight="1">
      <c r="A7" s="636" t="s">
        <v>0</v>
      </c>
      <c r="B7" s="2059" t="str">
        <f>'PLANILHA SEM DESON'!B8:C8</f>
        <v>364778/2019</v>
      </c>
      <c r="C7" s="2059"/>
      <c r="D7" s="637"/>
      <c r="E7" s="638"/>
    </row>
    <row r="8" spans="1:9" ht="31.5" customHeight="1">
      <c r="A8" s="34" t="str">
        <f>'PLANILHA SEM DESON'!A9</f>
        <v>OBRA:</v>
      </c>
      <c r="B8" s="2060" t="str">
        <f>'PLANILHA SEM DESON'!B9:C9</f>
        <v>CONSTRUÇÃO DE DIRETORIA DE UNIDADE DESCONCENTRADA DA SEMA - DUDS</v>
      </c>
      <c r="C8" s="2060"/>
      <c r="D8" s="633" t="str">
        <f>'PLANILHA SEM DESON'!H11</f>
        <v>Data:</v>
      </c>
      <c r="E8" s="1348">
        <f>'PLANILHA SEM DESON'!I11</f>
        <v>44412</v>
      </c>
    </row>
    <row r="9" spans="1:9">
      <c r="A9" s="34" t="str">
        <f>'PLANILHA SEM DESON'!A10</f>
        <v>ENDEREÇO:</v>
      </c>
      <c r="B9" s="2061" t="str">
        <f>'PLANILHA SEM DESON'!B10:B10</f>
        <v>RUA 24 A - JARDIM TANGARA II</v>
      </c>
      <c r="C9" s="2062"/>
      <c r="D9" s="633" t="str">
        <f>'PLANILHA SEM DESON'!H12</f>
        <v>Prazo:</v>
      </c>
      <c r="E9" s="635" t="str">
        <f>'PLANILHA SEM DESON'!I12</f>
        <v>120 dias</v>
      </c>
    </row>
    <row r="10" spans="1:9">
      <c r="A10" s="34" t="str">
        <f>'PLANILHA SEM DESON'!A11</f>
        <v>MUNICÍPIO:</v>
      </c>
      <c r="B10" s="2061" t="str">
        <f>'PLANILHA SEM DESON'!B11:C11</f>
        <v>TANGARÁ DA SERRA - MT</v>
      </c>
      <c r="C10" s="2062"/>
      <c r="D10" s="633" t="str">
        <f>'PLANILHA SEM DESON'!H10</f>
        <v>BDI:</v>
      </c>
      <c r="E10" s="857">
        <f>'PLANILHA SEM DESON'!I10</f>
        <v>0.2223</v>
      </c>
    </row>
    <row r="11" spans="1:9" ht="15.75" customHeight="1" thickBot="1">
      <c r="A11" s="1339" t="str">
        <f>'PLANILHA SEM DESON'!A12</f>
        <v>ASSUNTO:</v>
      </c>
      <c r="B11" s="2063" t="str">
        <f>'PLANILHA SEM DESON'!B12</f>
        <v xml:space="preserve">CONSTRUÇÃO </v>
      </c>
      <c r="C11" s="2064"/>
      <c r="D11" s="1340"/>
      <c r="E11" s="1341"/>
    </row>
    <row r="12" spans="1:9" ht="6.75" customHeight="1" thickBot="1">
      <c r="A12" s="1342"/>
      <c r="B12" s="540"/>
      <c r="C12" s="5"/>
      <c r="D12" s="33"/>
      <c r="E12" s="1343"/>
    </row>
    <row r="13" spans="1:9" ht="16.5" thickBot="1">
      <c r="A13" s="2065" t="s">
        <v>28</v>
      </c>
      <c r="B13" s="2066"/>
      <c r="C13" s="2066"/>
      <c r="D13" s="2066"/>
      <c r="E13" s="2067"/>
    </row>
    <row r="14" spans="1:9" ht="13.5" customHeight="1">
      <c r="A14" s="641" t="s">
        <v>29</v>
      </c>
      <c r="B14" s="2068" t="s">
        <v>30</v>
      </c>
      <c r="C14" s="2069"/>
      <c r="D14" s="642" t="s">
        <v>31</v>
      </c>
      <c r="E14" s="643" t="s">
        <v>32</v>
      </c>
    </row>
    <row r="15" spans="1:9" ht="15.75">
      <c r="A15" s="149">
        <f>'PLANILHA SEM DESON'!A15</f>
        <v>1</v>
      </c>
      <c r="B15" s="2070" t="str">
        <f>'PLANILHA SEM DESON'!C15</f>
        <v>ADMINISTRAÇÃO LOCAL</v>
      </c>
      <c r="C15" s="2071"/>
      <c r="D15" s="6">
        <f>'PLANILHA SEM DESON'!I17</f>
        <v>27138.97</v>
      </c>
      <c r="E15" s="7">
        <f t="shared" ref="E15:E38" si="0">(D15/$D$38)*100</f>
        <v>1.8204713914606911</v>
      </c>
    </row>
    <row r="16" spans="1:9" ht="15.75">
      <c r="A16" s="149">
        <f>'PLANILHA SEM DESON'!A18</f>
        <v>2</v>
      </c>
      <c r="B16" s="2044" t="str">
        <f>'PLANILHA SEM DESON'!C18</f>
        <v>SERVIÇO PRELIMINARES</v>
      </c>
      <c r="C16" s="2045"/>
      <c r="D16" s="6">
        <f>'PLANILHA SEM DESON'!I34</f>
        <v>164314.85</v>
      </c>
      <c r="E16" s="7">
        <f t="shared" si="0"/>
        <v>11.022175256362152</v>
      </c>
    </row>
    <row r="17" spans="1:5" ht="15.75">
      <c r="A17" s="149">
        <f>'PLANILHA SEM DESON'!A35</f>
        <v>3</v>
      </c>
      <c r="B17" s="2044" t="str">
        <f>'PLANILHA SEM DESON'!C35</f>
        <v>MOVIMENTO DE TERRA</v>
      </c>
      <c r="C17" s="2072"/>
      <c r="D17" s="6">
        <f>'PLANILHA SEM DESON'!I39</f>
        <v>41982.62</v>
      </c>
      <c r="E17" s="7">
        <f t="shared" si="0"/>
        <v>2.8161775722721032</v>
      </c>
    </row>
    <row r="18" spans="1:5" ht="15.75">
      <c r="A18" s="1344">
        <f>'PLANILHA SEM DESON'!A40</f>
        <v>4</v>
      </c>
      <c r="B18" s="2042" t="str">
        <f>'PLANILHA SEM DESON'!C40</f>
        <v>ESTRUTURA EM CONCRETO ARMADO</v>
      </c>
      <c r="C18" s="2043"/>
      <c r="D18" s="1345">
        <f>'PLANILHA SEM DESON'!I94</f>
        <v>229200.31</v>
      </c>
      <c r="E18" s="7">
        <f t="shared" si="0"/>
        <v>15.374666292380358</v>
      </c>
    </row>
    <row r="19" spans="1:5" ht="16.5" customHeight="1">
      <c r="A19" s="1346">
        <f>'PLANILHA SEM DESON'!A95</f>
        <v>5</v>
      </c>
      <c r="B19" s="2044" t="str">
        <f>'PLANILHA SEM DESON'!C95</f>
        <v>FECHAMENTOS EM ALVENARIA</v>
      </c>
      <c r="C19" s="2045"/>
      <c r="D19" s="1347">
        <f>'PLANILHA SEM DESON'!I104</f>
        <v>84308.13</v>
      </c>
      <c r="E19" s="7">
        <f t="shared" si="0"/>
        <v>5.6553560703500851</v>
      </c>
    </row>
    <row r="20" spans="1:5" ht="16.5" customHeight="1">
      <c r="A20" s="1346">
        <f>'PLANILHA SEM DESON'!A105</f>
        <v>6</v>
      </c>
      <c r="B20" s="2044" t="str">
        <f>'PLANILHA SEM DESON'!C105</f>
        <v>REVESTIMENTO DE PISO</v>
      </c>
      <c r="C20" s="2045"/>
      <c r="D20" s="1347">
        <f>'PLANILHA SEM DESON'!I113</f>
        <v>76970.759999999995</v>
      </c>
      <c r="E20" s="7">
        <f t="shared" si="0"/>
        <v>5.1631681879963347</v>
      </c>
    </row>
    <row r="21" spans="1:5" ht="16.5" customHeight="1">
      <c r="A21" s="1346">
        <f>'PLANILHA SEM DESON'!A114</f>
        <v>7</v>
      </c>
      <c r="B21" s="2044" t="str">
        <f>'PLANILHA SEM DESON'!C114</f>
        <v>REVESTIMENTO DE PAREDE</v>
      </c>
      <c r="C21" s="2045"/>
      <c r="D21" s="1347">
        <f>'PLANILHA SEM DESON'!I125</f>
        <v>89402.14</v>
      </c>
      <c r="E21" s="7">
        <f t="shared" si="0"/>
        <v>5.9970602497207333</v>
      </c>
    </row>
    <row r="22" spans="1:5" ht="15.75">
      <c r="A22" s="1346">
        <f>'PLANILHA SEM DESON'!A126</f>
        <v>8</v>
      </c>
      <c r="B22" s="2044" t="str">
        <f>'PLANILHA SEM DESON'!C126</f>
        <v>ESQUADRIAS</v>
      </c>
      <c r="C22" s="2045"/>
      <c r="D22" s="1347">
        <f>'PLANILHA SEM DESON'!I142</f>
        <v>79486.679999999993</v>
      </c>
      <c r="E22" s="7">
        <f t="shared" si="0"/>
        <v>5.3319351081559354</v>
      </c>
    </row>
    <row r="23" spans="1:5" ht="15.75" customHeight="1">
      <c r="A23" s="1346">
        <f>'PLANILHA SEM DESON'!A143</f>
        <v>9</v>
      </c>
      <c r="B23" s="2044" t="str">
        <f>'PLANILHA SEM DESON'!C143</f>
        <v>PINTURA</v>
      </c>
      <c r="C23" s="2045"/>
      <c r="D23" s="1347">
        <f>'PLANILHA SEM DESON'!I156</f>
        <v>48670.559999999998</v>
      </c>
      <c r="E23" s="7">
        <f t="shared" si="0"/>
        <v>3.264801946660874</v>
      </c>
    </row>
    <row r="24" spans="1:5" ht="15.75" customHeight="1">
      <c r="A24" s="1346" t="str">
        <f>'PLANILHA SEM DESON'!A158</f>
        <v>10.1</v>
      </c>
      <c r="B24" s="2044" t="str">
        <f>'PLANILHA SEM DESON'!C158</f>
        <v>ESTRUTURA METÁLICA</v>
      </c>
      <c r="C24" s="2045"/>
      <c r="D24" s="1347">
        <f>'PLANILHA SEM DESON'!I163</f>
        <v>56284.57</v>
      </c>
      <c r="E24" s="7">
        <f t="shared" si="0"/>
        <v>3.7755467309800874</v>
      </c>
    </row>
    <row r="25" spans="1:5" ht="15.75" customHeight="1">
      <c r="A25" s="1346" t="str">
        <f>'PLANILHA SEM DESON'!A164</f>
        <v>10.2</v>
      </c>
      <c r="B25" s="2044" t="str">
        <f>'PLANILHA SEM DESON'!C164</f>
        <v>TELHAMENTO E ACESSÓRIOS</v>
      </c>
      <c r="C25" s="2045"/>
      <c r="D25" s="1347">
        <f>'PLANILHA SEM DESON'!I166</f>
        <v>68774.55</v>
      </c>
      <c r="E25" s="7">
        <f t="shared" si="0"/>
        <v>4.6133696575655918</v>
      </c>
    </row>
    <row r="26" spans="1:5" ht="15.75">
      <c r="A26" s="1346">
        <f>'PLANILHA SEM DESON'!A167</f>
        <v>11</v>
      </c>
      <c r="B26" s="2044" t="str">
        <f>'PLANILHA SEM DESON'!C167</f>
        <v>INSTALAÇÕES ELÉTRICAS</v>
      </c>
      <c r="C26" s="2045"/>
      <c r="D26" s="1347">
        <f>'PLANILHA SEM DESON'!I219</f>
        <v>38447.19</v>
      </c>
      <c r="E26" s="7">
        <f t="shared" si="0"/>
        <v>2.5790223238779353</v>
      </c>
    </row>
    <row r="27" spans="1:5" ht="15.75">
      <c r="A27" s="1346" t="str">
        <f>'PLANILHA SEM DESON'!A220</f>
        <v>11.2</v>
      </c>
      <c r="B27" s="2044" t="str">
        <f>'PLANILHA SEM DESON'!C220</f>
        <v xml:space="preserve">CABEAMENTO ESTRUTURADO </v>
      </c>
      <c r="C27" s="2045"/>
      <c r="D27" s="1347">
        <f>'PLANILHA SEM DESON'!I247</f>
        <v>21186.02</v>
      </c>
      <c r="E27" s="7">
        <f t="shared" si="0"/>
        <v>1.4211498560525337</v>
      </c>
    </row>
    <row r="28" spans="1:5" ht="15.75">
      <c r="A28" s="1346">
        <f>'PLANILHA SEM DESON'!A248</f>
        <v>12</v>
      </c>
      <c r="B28" s="2044" t="str">
        <f>'PLANILHA SEM DESON'!C248</f>
        <v>SPDA</v>
      </c>
      <c r="C28" s="2045"/>
      <c r="D28" s="1347">
        <f>'PLANILHA SEM DESON'!I257</f>
        <v>25401.62</v>
      </c>
      <c r="E28" s="7">
        <f t="shared" si="0"/>
        <v>1.703930639473632</v>
      </c>
    </row>
    <row r="29" spans="1:5" ht="15.75">
      <c r="A29" s="1346">
        <f>'PLANILHA SEM DESON'!A258</f>
        <v>13</v>
      </c>
      <c r="B29" s="2044" t="str">
        <f>'PLANILHA SEM DESON'!C258</f>
        <v>INSTALAÇÕES HIDRÁULICAS</v>
      </c>
      <c r="C29" s="2045"/>
      <c r="D29" s="1347">
        <f>'PLANILHA SEM DESON'!I288</f>
        <v>14095.63</v>
      </c>
      <c r="E29" s="7">
        <f t="shared" si="0"/>
        <v>0.94552929457584656</v>
      </c>
    </row>
    <row r="30" spans="1:5" ht="15.75">
      <c r="A30" s="1346">
        <f>'PLANILHA SEM DESON'!A289</f>
        <v>14</v>
      </c>
      <c r="B30" s="2044" t="str">
        <f>'PLANILHA SEM DESON'!C289</f>
        <v>APARELHOS E METAIS</v>
      </c>
      <c r="C30" s="2045"/>
      <c r="D30" s="1347">
        <f>'PLANILHA SEM DESON'!I305</f>
        <v>8241.1200000000008</v>
      </c>
      <c r="E30" s="7">
        <f t="shared" si="0"/>
        <v>0.5528110754975053</v>
      </c>
    </row>
    <row r="31" spans="1:5" ht="15.75">
      <c r="A31" s="1346" t="str">
        <f>'PLANILHA SEM DESON'!A307</f>
        <v>15.1</v>
      </c>
      <c r="B31" s="2044" t="str">
        <f>'PLANILHA SEM DESON'!C307</f>
        <v>SERVIÇOS DE INSTALAÇÕES SANITÁRIAS</v>
      </c>
      <c r="C31" s="2045"/>
      <c r="D31" s="1347">
        <f>'PLANILHA SEM DESON'!I334</f>
        <v>7875.57</v>
      </c>
      <c r="E31" s="7">
        <f t="shared" si="0"/>
        <v>0.52829012583919266</v>
      </c>
    </row>
    <row r="32" spans="1:5" ht="15.75">
      <c r="A32" s="1346" t="str">
        <f>'PLANILHA SEM DESON'!A336</f>
        <v>15.2.1</v>
      </c>
      <c r="B32" s="2044" t="str">
        <f>'PLANILHA SEM DESON'!C336</f>
        <v xml:space="preserve">SUMIDOURO CIRCULAR, EM ALVENARIA COM TIJOLOS CERÂMICOS MACIÇOS, DIMENSÕES INTERNAS: DIAMETRO 2,84 M, ALTURA 3,00 M, ÁREA DE INFILTRAÇÃO: 132,40 M² </v>
      </c>
      <c r="C32" s="2045"/>
      <c r="D32" s="1347">
        <f>'PLANILHA SEM DESON'!I347</f>
        <v>6282.53</v>
      </c>
      <c r="E32" s="7">
        <f t="shared" si="0"/>
        <v>0.42142963166964464</v>
      </c>
    </row>
    <row r="33" spans="1:9" ht="15.75">
      <c r="A33" s="1346" t="str">
        <f>'PLANILHA SEM DESON'!A348</f>
        <v>15.2.2</v>
      </c>
      <c r="B33" s="2044" t="str">
        <f>'PLANILHA SEM DESON'!C348</f>
        <v>FOSSA SÉPTICA E FILTRO ANAERÓBIO CONJUGADO EM BLOCO DE CONCRETO</v>
      </c>
      <c r="C33" s="2045"/>
      <c r="D33" s="1347">
        <f>'PLANILHA SEM DESON'!I361</f>
        <v>10011.43</v>
      </c>
      <c r="E33" s="7">
        <f t="shared" si="0"/>
        <v>0.67156277126992314</v>
      </c>
    </row>
    <row r="34" spans="1:9" ht="15.75">
      <c r="A34" s="1346">
        <f>'PLANILHA SEM DESON'!A362</f>
        <v>16</v>
      </c>
      <c r="B34" s="2044" t="str">
        <f>'PLANILHA SEM DESON'!C362</f>
        <v xml:space="preserve">BANCADAS, RODABANCADAS, DIVISÓRIAS E REQUADRO EM GRANITO </v>
      </c>
      <c r="C34" s="2045"/>
      <c r="D34" s="1347">
        <f>'PLANILHA SEM DESON'!I369</f>
        <v>8598.49</v>
      </c>
      <c r="E34" s="7">
        <f t="shared" si="0"/>
        <v>0.57678331398578642</v>
      </c>
    </row>
    <row r="35" spans="1:9" ht="15.75">
      <c r="A35" s="1346">
        <f>'PLANILHA SEM DESON'!A370</f>
        <v>17</v>
      </c>
      <c r="B35" s="2044" t="str">
        <f>'PLANILHA SEM DESON'!C370</f>
        <v>MURO DE DIVISA E MURETA DO GRADIL</v>
      </c>
      <c r="C35" s="2045"/>
      <c r="D35" s="1347">
        <f>'PLANILHA SEM DESON'!I406</f>
        <v>265362.34999999998</v>
      </c>
      <c r="E35" s="7">
        <f t="shared" si="0"/>
        <v>17.800401656576462</v>
      </c>
    </row>
    <row r="36" spans="1:9" ht="15.75">
      <c r="A36" s="1346">
        <f>'PLANILHA SEM DESON'!A407</f>
        <v>18</v>
      </c>
      <c r="B36" s="2044" t="str">
        <f>'PLANILHA SEM DESON'!C407</f>
        <v>SERVIÇOS CONSTRUTIVOS COMPLEMENTARES</v>
      </c>
      <c r="C36" s="2045"/>
      <c r="D36" s="1347">
        <f>'PLANILHA SEM DESON'!I422</f>
        <v>117550.56</v>
      </c>
      <c r="E36" s="7">
        <f t="shared" si="0"/>
        <v>7.8852451485883002</v>
      </c>
    </row>
    <row r="37" spans="1:9" ht="15.75">
      <c r="A37" s="1346">
        <f>'PLANILHA SEM DESON'!A423</f>
        <v>19</v>
      </c>
      <c r="B37" s="2044" t="str">
        <f>'PLANILHA SEM DESON'!C423</f>
        <v>LIMPEZA GERAL</v>
      </c>
      <c r="C37" s="2045"/>
      <c r="D37" s="1347">
        <f>'PLANILHA SEM DESON'!I427</f>
        <v>1179.43</v>
      </c>
      <c r="E37" s="7">
        <f t="shared" si="0"/>
        <v>7.9115698688287842E-2</v>
      </c>
    </row>
    <row r="38" spans="1:9" ht="15.75">
      <c r="A38" s="2054" t="s">
        <v>26</v>
      </c>
      <c r="B38" s="2055"/>
      <c r="C38" s="2056"/>
      <c r="D38" s="8">
        <f>TRUNC(SUM(D15:D37),2)</f>
        <v>1490766.08</v>
      </c>
      <c r="E38" s="7">
        <f t="shared" si="0"/>
        <v>100</v>
      </c>
    </row>
    <row r="39" spans="1:9" ht="15.75">
      <c r="A39" s="2050"/>
      <c r="B39" s="2051"/>
      <c r="C39" s="47" t="s">
        <v>33</v>
      </c>
      <c r="D39" s="2052">
        <f>D38</f>
        <v>1490766.08</v>
      </c>
      <c r="E39" s="2053"/>
    </row>
    <row r="40" spans="1:9" ht="13.5" customHeight="1" thickBot="1">
      <c r="A40" s="640"/>
      <c r="B40" s="2048" t="str">
        <f>'PLANILHA SEM DESON'!B430:I430</f>
        <v>um milhão, quatrocentos e noventa mil, setecentos e sessenta e seis reais e oito centavos</v>
      </c>
      <c r="C40" s="2048"/>
      <c r="D40" s="2048"/>
      <c r="E40" s="2049"/>
    </row>
    <row r="41" spans="1:9" ht="42.75" customHeight="1" thickBot="1">
      <c r="A41" s="2046" t="s">
        <v>46</v>
      </c>
      <c r="B41" s="2047"/>
      <c r="C41" s="2036" t="s">
        <v>2423</v>
      </c>
      <c r="D41" s="2036"/>
      <c r="E41" s="2037"/>
      <c r="F41" s="304"/>
      <c r="G41" s="127"/>
      <c r="H41" s="127"/>
      <c r="I41" s="45"/>
    </row>
  </sheetData>
  <mergeCells count="38">
    <mergeCell ref="B34:C34"/>
    <mergeCell ref="B35:C35"/>
    <mergeCell ref="A2:E2"/>
    <mergeCell ref="A3:E3"/>
    <mergeCell ref="B7:C7"/>
    <mergeCell ref="B8:C8"/>
    <mergeCell ref="B9:C9"/>
    <mergeCell ref="B10:C10"/>
    <mergeCell ref="B11:C11"/>
    <mergeCell ref="A13:E13"/>
    <mergeCell ref="B14:C14"/>
    <mergeCell ref="B27:C27"/>
    <mergeCell ref="B29:C29"/>
    <mergeCell ref="B15:C15"/>
    <mergeCell ref="B17:C17"/>
    <mergeCell ref="B16:C16"/>
    <mergeCell ref="A41:B41"/>
    <mergeCell ref="B36:C36"/>
    <mergeCell ref="B37:C37"/>
    <mergeCell ref="C41:E41"/>
    <mergeCell ref="B40:E40"/>
    <mergeCell ref="A39:B39"/>
    <mergeCell ref="D39:E39"/>
    <mergeCell ref="A38:C38"/>
    <mergeCell ref="B31:C31"/>
    <mergeCell ref="B32:C32"/>
    <mergeCell ref="B33:C33"/>
    <mergeCell ref="B22:C22"/>
    <mergeCell ref="B26:C26"/>
    <mergeCell ref="B28:C28"/>
    <mergeCell ref="B30:C30"/>
    <mergeCell ref="B25:C25"/>
    <mergeCell ref="B18:C18"/>
    <mergeCell ref="B20:C20"/>
    <mergeCell ref="B19:C19"/>
    <mergeCell ref="B21:C21"/>
    <mergeCell ref="B24:C24"/>
    <mergeCell ref="B23:C23"/>
  </mergeCells>
  <printOptions horizontalCentered="1"/>
  <pageMargins left="0.98425196850393704" right="0.78740157480314965" top="0.98425196850393704" bottom="0.78740157480314965"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6"/>
  <sheetViews>
    <sheetView topLeftCell="A293" zoomScale="90" zoomScaleNormal="90" workbookViewId="0">
      <selection activeCell="H437" sqref="H437"/>
    </sheetView>
  </sheetViews>
  <sheetFormatPr defaultRowHeight="15"/>
  <cols>
    <col min="1" max="1" width="16.42578125" customWidth="1"/>
    <col min="2" max="2" width="15.85546875" customWidth="1"/>
    <col min="3" max="3" width="80" customWidth="1"/>
    <col min="5" max="5" width="11.140625" customWidth="1"/>
    <col min="6" max="6" width="9.28515625" customWidth="1"/>
    <col min="7" max="7" width="9.140625" hidden="1" customWidth="1"/>
    <col min="8" max="8" width="11.28515625" customWidth="1"/>
    <col min="9" max="9" width="13" customWidth="1"/>
    <col min="10" max="10" width="17" customWidth="1"/>
    <col min="11" max="11" width="33.28515625" customWidth="1"/>
    <col min="12" max="12" width="30.140625" customWidth="1"/>
    <col min="13" max="13" width="10" customWidth="1"/>
    <col min="14" max="14" width="10.28515625" customWidth="1"/>
  </cols>
  <sheetData>
    <row r="1" spans="1:11" ht="30">
      <c r="A1" s="74"/>
      <c r="B1" s="55"/>
      <c r="C1" s="43"/>
      <c r="D1" s="63"/>
      <c r="E1" s="63"/>
      <c r="F1" s="55"/>
      <c r="G1" s="55"/>
      <c r="H1" s="56"/>
      <c r="I1" s="57"/>
    </row>
    <row r="2" spans="1:11" ht="15.75">
      <c r="A2" s="2089"/>
      <c r="B2" s="2090"/>
      <c r="C2" s="245"/>
      <c r="D2" s="245"/>
      <c r="E2" s="245"/>
      <c r="F2" s="245"/>
      <c r="G2" s="245"/>
      <c r="H2" s="245"/>
      <c r="I2" s="59"/>
    </row>
    <row r="3" spans="1:11" ht="15.75">
      <c r="A3" s="2089"/>
      <c r="B3" s="2090"/>
      <c r="C3" s="2040" t="s">
        <v>135</v>
      </c>
      <c r="D3" s="2040"/>
      <c r="E3" s="2040"/>
      <c r="F3" s="2040"/>
      <c r="G3" s="2040"/>
      <c r="H3" s="2040"/>
      <c r="I3" s="59"/>
    </row>
    <row r="4" spans="1:11" ht="15.75">
      <c r="A4" s="2089"/>
      <c r="B4" s="2090"/>
      <c r="C4" s="2040" t="s">
        <v>136</v>
      </c>
      <c r="D4" s="2040"/>
      <c r="E4" s="2040"/>
      <c r="F4" s="2040"/>
      <c r="G4" s="2040"/>
      <c r="H4" s="2040"/>
      <c r="I4" s="59"/>
    </row>
    <row r="5" spans="1:11" ht="15.75">
      <c r="A5" s="2089"/>
      <c r="B5" s="2090"/>
      <c r="C5" s="2040" t="s">
        <v>213</v>
      </c>
      <c r="D5" s="2040"/>
      <c r="E5" s="2040"/>
      <c r="F5" s="2040"/>
      <c r="G5" s="2040"/>
      <c r="H5" s="2040"/>
      <c r="I5" s="59"/>
    </row>
    <row r="6" spans="1:11" ht="27.75" thickBot="1">
      <c r="A6" s="66"/>
      <c r="B6" s="67"/>
      <c r="C6" s="240"/>
      <c r="D6" s="68"/>
      <c r="E6" s="68"/>
      <c r="F6" s="68"/>
      <c r="G6" s="68"/>
      <c r="H6" s="60"/>
      <c r="I6" s="61"/>
    </row>
    <row r="7" spans="1:11" ht="6.75" customHeight="1" thickBot="1"/>
    <row r="8" spans="1:11" ht="17.25" customHeight="1">
      <c r="A8" s="543" t="s">
        <v>0</v>
      </c>
      <c r="B8" s="2091" t="s">
        <v>675</v>
      </c>
      <c r="C8" s="2091"/>
      <c r="D8" s="75"/>
      <c r="E8" s="76"/>
      <c r="F8" s="75"/>
      <c r="G8" s="77"/>
      <c r="H8" s="2092"/>
      <c r="I8" s="104"/>
    </row>
    <row r="9" spans="1:11">
      <c r="A9" s="544" t="s">
        <v>1</v>
      </c>
      <c r="B9" s="2060" t="s">
        <v>1597</v>
      </c>
      <c r="C9" s="2060"/>
      <c r="D9" s="1"/>
      <c r="E9" s="2"/>
      <c r="F9" s="1"/>
      <c r="G9" s="540"/>
      <c r="H9" s="2093"/>
      <c r="I9" s="317"/>
    </row>
    <row r="10" spans="1:11">
      <c r="A10" s="544" t="s">
        <v>2</v>
      </c>
      <c r="B10" s="2060" t="s">
        <v>2410</v>
      </c>
      <c r="C10" s="2060"/>
      <c r="D10" s="1"/>
      <c r="E10" s="2"/>
      <c r="F10" s="1"/>
      <c r="G10" s="540"/>
      <c r="H10" s="548" t="s">
        <v>3</v>
      </c>
      <c r="I10" s="549">
        <v>0.2223</v>
      </c>
    </row>
    <row r="11" spans="1:11">
      <c r="A11" s="544" t="s">
        <v>4</v>
      </c>
      <c r="B11" s="2060" t="s">
        <v>676</v>
      </c>
      <c r="C11" s="2060"/>
      <c r="D11" s="1"/>
      <c r="E11" s="2"/>
      <c r="F11" s="1"/>
      <c r="G11" s="540"/>
      <c r="H11" s="550" t="s">
        <v>5</v>
      </c>
      <c r="I11" s="1542">
        <v>44412</v>
      </c>
    </row>
    <row r="12" spans="1:11" ht="16.5" thickBot="1">
      <c r="A12" s="545" t="s">
        <v>6</v>
      </c>
      <c r="B12" s="546" t="s">
        <v>668</v>
      </c>
      <c r="C12" s="547" t="s">
        <v>2419</v>
      </c>
      <c r="D12" s="241"/>
      <c r="E12" s="40"/>
      <c r="F12" s="41"/>
      <c r="G12" s="42"/>
      <c r="H12" s="551" t="s">
        <v>44</v>
      </c>
      <c r="I12" s="552" t="s">
        <v>1809</v>
      </c>
    </row>
    <row r="13" spans="1:11" ht="3.75" customHeight="1" thickBot="1"/>
    <row r="14" spans="1:11" ht="30.75" thickBot="1">
      <c r="A14" s="588" t="s">
        <v>7</v>
      </c>
      <c r="B14" s="587" t="s">
        <v>8</v>
      </c>
      <c r="C14" s="589" t="s">
        <v>9</v>
      </c>
      <c r="D14" s="587" t="s">
        <v>10</v>
      </c>
      <c r="E14" s="590" t="s">
        <v>11</v>
      </c>
      <c r="F14" s="587" t="s">
        <v>12</v>
      </c>
      <c r="G14" s="591" t="s">
        <v>12</v>
      </c>
      <c r="H14" s="591" t="s">
        <v>2408</v>
      </c>
      <c r="I14" s="592" t="s">
        <v>13</v>
      </c>
      <c r="K14" s="242"/>
    </row>
    <row r="15" spans="1:11" ht="14.25" customHeight="1">
      <c r="A15" s="593">
        <v>1</v>
      </c>
      <c r="B15" s="594"/>
      <c r="C15" s="595" t="s">
        <v>186</v>
      </c>
      <c r="D15" s="596"/>
      <c r="E15" s="597"/>
      <c r="F15" s="596"/>
      <c r="G15" s="598"/>
      <c r="H15" s="598"/>
      <c r="I15" s="599"/>
      <c r="J15" s="822" t="s">
        <v>489</v>
      </c>
      <c r="K15" s="822"/>
    </row>
    <row r="16" spans="1:11">
      <c r="A16" s="211" t="s">
        <v>15</v>
      </c>
      <c r="B16" s="146" t="s">
        <v>133</v>
      </c>
      <c r="C16" s="147" t="s">
        <v>125</v>
      </c>
      <c r="D16" s="204" t="s">
        <v>57</v>
      </c>
      <c r="E16" s="1572">
        <v>22203.200000000001</v>
      </c>
      <c r="F16" s="351">
        <f>IF(OR(E16&lt;=0)," ",TRUNC(G16,2))</f>
        <v>1</v>
      </c>
      <c r="G16" s="349">
        <v>1</v>
      </c>
      <c r="H16" s="352">
        <f>IF(OR(E16&lt;=0)," ",TRUNC((E16*(1+$I$10)),2))</f>
        <v>27138.97</v>
      </c>
      <c r="I16" s="169">
        <f>IF(OR(E16&lt;=0)," ",TRUNC((H16*F16),2))</f>
        <v>27138.97</v>
      </c>
      <c r="J16" s="207">
        <f>'COMP CIVIL'!F20</f>
        <v>23802.400000000001</v>
      </c>
      <c r="K16" s="243"/>
    </row>
    <row r="17" spans="1:15" ht="15.75" thickBot="1">
      <c r="A17" s="170"/>
      <c r="B17" s="171"/>
      <c r="C17" s="172"/>
      <c r="D17" s="173"/>
      <c r="E17" s="1573"/>
      <c r="F17" s="978"/>
      <c r="G17" s="979"/>
      <c r="H17" s="980" t="s">
        <v>16</v>
      </c>
      <c r="I17" s="176">
        <f>TRUNC(SUM(I16:I16),2)</f>
        <v>27138.97</v>
      </c>
      <c r="J17" s="44"/>
      <c r="K17" s="243"/>
    </row>
    <row r="18" spans="1:15" ht="14.25" customHeight="1">
      <c r="A18" s="593">
        <v>2</v>
      </c>
      <c r="B18" s="594"/>
      <c r="C18" s="595" t="s">
        <v>14</v>
      </c>
      <c r="D18" s="596"/>
      <c r="E18" s="1586"/>
      <c r="F18" s="981"/>
      <c r="G18" s="982"/>
      <c r="H18" s="982"/>
      <c r="I18" s="599"/>
      <c r="J18" s="822" t="s">
        <v>489</v>
      </c>
      <c r="K18" s="810" t="s">
        <v>1409</v>
      </c>
    </row>
    <row r="19" spans="1:15" ht="20.25" customHeight="1">
      <c r="A19" s="211" t="s">
        <v>17</v>
      </c>
      <c r="B19" s="1657" t="s">
        <v>138</v>
      </c>
      <c r="C19" s="1613" t="s">
        <v>47</v>
      </c>
      <c r="D19" s="1619" t="s">
        <v>48</v>
      </c>
      <c r="E19" s="1669">
        <v>315.95</v>
      </c>
      <c r="F19" s="1593">
        <f>IF(OR(E19&lt;=0)," ",TRUNC(G19,2))</f>
        <v>12.5</v>
      </c>
      <c r="G19" s="1744">
        <v>12.5</v>
      </c>
      <c r="H19" s="1595">
        <f>IF(OR(E19&lt;=0)," ",TRUNC((E19*(1+$I$10)),2))</f>
        <v>386.18</v>
      </c>
      <c r="I19" s="1596">
        <f>IF(OR(E19&lt;=0)," ",TRUNC((H19*F19),2))</f>
        <v>4827.25</v>
      </c>
      <c r="J19" s="860">
        <f>'COMP CIVIL'!F37</f>
        <v>331.72</v>
      </c>
      <c r="K19" s="414"/>
    </row>
    <row r="20" spans="1:15" ht="43.5" customHeight="1">
      <c r="A20" s="211" t="s">
        <v>18</v>
      </c>
      <c r="B20" s="1657">
        <v>98525</v>
      </c>
      <c r="C20" s="1548" t="s">
        <v>421</v>
      </c>
      <c r="D20" s="1619" t="s">
        <v>48</v>
      </c>
      <c r="E20" s="1669">
        <v>0.34</v>
      </c>
      <c r="F20" s="1593">
        <f t="shared" ref="F20:F33" si="0">IF(OR(E20&lt;=0)," ",TRUNC(G20,2))</f>
        <v>1499.19</v>
      </c>
      <c r="G20" s="1745">
        <v>1499.19</v>
      </c>
      <c r="H20" s="1595">
        <f t="shared" ref="H20:H33" si="1">IF(OR(E20&lt;=0)," ",TRUNC((E20*(1+$I$10)),2))</f>
        <v>0.41</v>
      </c>
      <c r="I20" s="1596">
        <f t="shared" ref="I20:I33" si="2">IF(OR(E20&lt;=0)," ",TRUNC((H20*F20),2))</f>
        <v>614.66</v>
      </c>
      <c r="J20" s="44"/>
      <c r="K20" s="243"/>
      <c r="L20" s="324">
        <f>1499.19*0.2*0.4+40.02+12.08*0.4+21</f>
        <v>185.78720000000001</v>
      </c>
    </row>
    <row r="21" spans="1:15" ht="42.75">
      <c r="A21" s="211" t="s">
        <v>70</v>
      </c>
      <c r="B21" s="1657">
        <v>100981</v>
      </c>
      <c r="C21" s="1613" t="s">
        <v>1717</v>
      </c>
      <c r="D21" s="1619" t="s">
        <v>49</v>
      </c>
      <c r="E21" s="1669">
        <v>8.26</v>
      </c>
      <c r="F21" s="1593">
        <f t="shared" si="0"/>
        <v>171.26</v>
      </c>
      <c r="G21" s="1744">
        <v>171.26</v>
      </c>
      <c r="H21" s="1595">
        <f t="shared" si="1"/>
        <v>10.09</v>
      </c>
      <c r="I21" s="1596">
        <f t="shared" si="2"/>
        <v>1728.01</v>
      </c>
      <c r="J21" s="856" t="s">
        <v>2194</v>
      </c>
      <c r="K21" s="644" t="s">
        <v>2193</v>
      </c>
      <c r="L21" s="126"/>
    </row>
    <row r="22" spans="1:15" ht="30" customHeight="1">
      <c r="A22" s="211" t="s">
        <v>129</v>
      </c>
      <c r="B22" s="1657">
        <v>97914</v>
      </c>
      <c r="C22" s="1613" t="s">
        <v>1718</v>
      </c>
      <c r="D22" s="1619" t="s">
        <v>1719</v>
      </c>
      <c r="E22" s="1669">
        <v>2.62</v>
      </c>
      <c r="F22" s="1593">
        <f t="shared" si="0"/>
        <v>5573.4</v>
      </c>
      <c r="G22" s="1744">
        <v>5573.4</v>
      </c>
      <c r="H22" s="1595">
        <f t="shared" si="1"/>
        <v>3.2</v>
      </c>
      <c r="I22" s="1596">
        <f t="shared" si="2"/>
        <v>17834.88</v>
      </c>
      <c r="J22" s="207">
        <f>185.78*30</f>
        <v>5573.4</v>
      </c>
      <c r="K22" s="2082" t="s">
        <v>2313</v>
      </c>
      <c r="L22" s="2082"/>
      <c r="M22" s="2073" t="s">
        <v>2314</v>
      </c>
      <c r="N22" s="2073"/>
      <c r="O22" s="2073"/>
    </row>
    <row r="23" spans="1:15" ht="18" customHeight="1">
      <c r="A23" s="211" t="s">
        <v>201</v>
      </c>
      <c r="B23" s="163">
        <v>98459</v>
      </c>
      <c r="C23" s="353" t="s">
        <v>422</v>
      </c>
      <c r="D23" s="1619" t="s">
        <v>48</v>
      </c>
      <c r="E23" s="1669">
        <v>106.46</v>
      </c>
      <c r="F23" s="1593">
        <f t="shared" si="0"/>
        <v>364.6</v>
      </c>
      <c r="G23" s="1745">
        <v>364.6</v>
      </c>
      <c r="H23" s="1595">
        <f t="shared" si="1"/>
        <v>130.12</v>
      </c>
      <c r="I23" s="1596">
        <f t="shared" si="2"/>
        <v>47441.75</v>
      </c>
      <c r="J23" s="384"/>
      <c r="K23" s="384"/>
    </row>
    <row r="24" spans="1:15" ht="30.75" customHeight="1">
      <c r="A24" s="211" t="s">
        <v>202</v>
      </c>
      <c r="B24" s="1657">
        <v>99059</v>
      </c>
      <c r="C24" s="1613" t="s">
        <v>1801</v>
      </c>
      <c r="D24" s="1698" t="s">
        <v>56</v>
      </c>
      <c r="E24" s="1669">
        <v>50.94</v>
      </c>
      <c r="F24" s="1593">
        <f t="shared" si="0"/>
        <v>78.25</v>
      </c>
      <c r="G24" s="1744">
        <v>78.25</v>
      </c>
      <c r="H24" s="1595">
        <f t="shared" si="1"/>
        <v>62.26</v>
      </c>
      <c r="I24" s="1596">
        <f t="shared" si="2"/>
        <v>4871.84</v>
      </c>
      <c r="J24" s="243"/>
      <c r="K24" s="313"/>
    </row>
    <row r="25" spans="1:15" ht="30.75" customHeight="1">
      <c r="A25" s="211" t="s">
        <v>203</v>
      </c>
      <c r="B25" s="1746" t="s">
        <v>141</v>
      </c>
      <c r="C25" s="1747" t="s">
        <v>1800</v>
      </c>
      <c r="D25" s="1619" t="s">
        <v>57</v>
      </c>
      <c r="E25" s="1669">
        <v>1880.63</v>
      </c>
      <c r="F25" s="1593">
        <f t="shared" si="0"/>
        <v>1</v>
      </c>
      <c r="G25" s="1744">
        <v>1</v>
      </c>
      <c r="H25" s="1595">
        <f t="shared" si="1"/>
        <v>2298.69</v>
      </c>
      <c r="I25" s="1596">
        <f t="shared" si="2"/>
        <v>2298.69</v>
      </c>
      <c r="J25" s="237">
        <f>'COMP CIVIL'!F64</f>
        <v>2510.4500000000003</v>
      </c>
      <c r="K25" s="313"/>
    </row>
    <row r="26" spans="1:15" ht="37.5" customHeight="1">
      <c r="A26" s="211" t="s">
        <v>204</v>
      </c>
      <c r="B26" s="1746">
        <v>93212</v>
      </c>
      <c r="C26" s="353" t="s">
        <v>425</v>
      </c>
      <c r="D26" s="1698" t="s">
        <v>48</v>
      </c>
      <c r="E26" s="1748">
        <v>994.19</v>
      </c>
      <c r="F26" s="1593">
        <f t="shared" si="0"/>
        <v>9</v>
      </c>
      <c r="G26" s="1744">
        <v>9</v>
      </c>
      <c r="H26" s="1595">
        <f t="shared" si="1"/>
        <v>1215.19</v>
      </c>
      <c r="I26" s="1596">
        <f t="shared" si="2"/>
        <v>10936.71</v>
      </c>
      <c r="J26" s="309"/>
      <c r="K26" s="313"/>
    </row>
    <row r="27" spans="1:15" ht="30.75" customHeight="1">
      <c r="A27" s="211" t="s">
        <v>205</v>
      </c>
      <c r="B27" s="1657">
        <v>93208</v>
      </c>
      <c r="C27" s="1598" t="s">
        <v>424</v>
      </c>
      <c r="D27" s="1698" t="s">
        <v>48</v>
      </c>
      <c r="E27" s="1669">
        <v>897.13</v>
      </c>
      <c r="F27" s="1593">
        <f t="shared" si="0"/>
        <v>23.38</v>
      </c>
      <c r="G27" s="1744">
        <v>23.38</v>
      </c>
      <c r="H27" s="1595">
        <f t="shared" si="1"/>
        <v>1096.56</v>
      </c>
      <c r="I27" s="1596">
        <f t="shared" si="2"/>
        <v>25637.57</v>
      </c>
      <c r="J27" s="182"/>
      <c r="K27" s="313"/>
    </row>
    <row r="28" spans="1:15" ht="35.25" customHeight="1">
      <c r="A28" s="211" t="s">
        <v>206</v>
      </c>
      <c r="B28" s="1657">
        <v>93210</v>
      </c>
      <c r="C28" s="1620" t="s">
        <v>1242</v>
      </c>
      <c r="D28" s="1698" t="s">
        <v>1802</v>
      </c>
      <c r="E28" s="1669">
        <v>600.4</v>
      </c>
      <c r="F28" s="1593">
        <f t="shared" si="0"/>
        <v>23.38</v>
      </c>
      <c r="G28" s="1744">
        <v>23.38</v>
      </c>
      <c r="H28" s="1595">
        <f t="shared" si="1"/>
        <v>733.86</v>
      </c>
      <c r="I28" s="1596">
        <f t="shared" si="2"/>
        <v>17157.64</v>
      </c>
      <c r="J28" s="182"/>
      <c r="K28" s="313"/>
    </row>
    <row r="29" spans="1:15" ht="37.5" customHeight="1">
      <c r="A29" s="211" t="s">
        <v>207</v>
      </c>
      <c r="B29" s="1657">
        <v>93207</v>
      </c>
      <c r="C29" s="706" t="s">
        <v>1241</v>
      </c>
      <c r="D29" s="1698" t="s">
        <v>48</v>
      </c>
      <c r="E29" s="1669">
        <v>1129.44</v>
      </c>
      <c r="F29" s="1593">
        <f t="shared" si="0"/>
        <v>13.6</v>
      </c>
      <c r="G29" s="1744">
        <v>13.6</v>
      </c>
      <c r="H29" s="1595">
        <f t="shared" si="1"/>
        <v>1380.51</v>
      </c>
      <c r="I29" s="1596">
        <f t="shared" si="2"/>
        <v>18774.93</v>
      </c>
      <c r="J29" s="182"/>
      <c r="K29" s="313"/>
    </row>
    <row r="30" spans="1:15" ht="36.75" customHeight="1" thickBot="1">
      <c r="A30" s="1749" t="s">
        <v>208</v>
      </c>
      <c r="B30" s="1750">
        <v>93214</v>
      </c>
      <c r="C30" s="1751" t="s">
        <v>423</v>
      </c>
      <c r="D30" s="1752" t="s">
        <v>57</v>
      </c>
      <c r="E30" s="1753">
        <v>5825.58</v>
      </c>
      <c r="F30" s="988">
        <f t="shared" si="0"/>
        <v>1</v>
      </c>
      <c r="G30" s="1754">
        <v>1</v>
      </c>
      <c r="H30" s="979">
        <f t="shared" si="1"/>
        <v>7120.6</v>
      </c>
      <c r="I30" s="1648">
        <f t="shared" si="2"/>
        <v>7120.6</v>
      </c>
      <c r="J30" s="182"/>
      <c r="K30" s="313"/>
    </row>
    <row r="31" spans="1:15" ht="45" customHeight="1">
      <c r="A31" s="1723" t="s">
        <v>209</v>
      </c>
      <c r="B31" s="1755">
        <v>95635</v>
      </c>
      <c r="C31" s="1756" t="s">
        <v>427</v>
      </c>
      <c r="D31" s="1757" t="s">
        <v>57</v>
      </c>
      <c r="E31" s="1758">
        <v>181.53</v>
      </c>
      <c r="F31" s="1609">
        <f t="shared" si="0"/>
        <v>1</v>
      </c>
      <c r="G31" s="1759">
        <v>1</v>
      </c>
      <c r="H31" s="1611">
        <f t="shared" si="1"/>
        <v>221.88</v>
      </c>
      <c r="I31" s="1612">
        <f t="shared" si="2"/>
        <v>221.88</v>
      </c>
      <c r="J31" s="182"/>
      <c r="K31" s="313"/>
    </row>
    <row r="32" spans="1:15" ht="18" customHeight="1">
      <c r="A32" s="211" t="s">
        <v>210</v>
      </c>
      <c r="B32" s="1657">
        <v>95675</v>
      </c>
      <c r="C32" s="1598" t="s">
        <v>426</v>
      </c>
      <c r="D32" s="1619" t="s">
        <v>57</v>
      </c>
      <c r="E32" s="1669">
        <v>177.96</v>
      </c>
      <c r="F32" s="1593">
        <f t="shared" si="0"/>
        <v>1</v>
      </c>
      <c r="G32" s="1745">
        <v>1</v>
      </c>
      <c r="H32" s="1595">
        <f t="shared" si="1"/>
        <v>217.52</v>
      </c>
      <c r="I32" s="1596">
        <f t="shared" si="2"/>
        <v>217.52</v>
      </c>
      <c r="J32" s="384"/>
      <c r="K32" s="384"/>
    </row>
    <row r="33" spans="1:12" ht="18" customHeight="1">
      <c r="A33" s="211" t="s">
        <v>211</v>
      </c>
      <c r="B33" s="163" t="s">
        <v>596</v>
      </c>
      <c r="C33" s="353" t="s">
        <v>436</v>
      </c>
      <c r="D33" s="1619" t="s">
        <v>57</v>
      </c>
      <c r="E33" s="1669">
        <v>3788.7</v>
      </c>
      <c r="F33" s="1593">
        <f t="shared" si="0"/>
        <v>1</v>
      </c>
      <c r="G33" s="1745">
        <v>1</v>
      </c>
      <c r="H33" s="1595">
        <f t="shared" si="1"/>
        <v>4630.92</v>
      </c>
      <c r="I33" s="1596">
        <f t="shared" si="2"/>
        <v>4630.92</v>
      </c>
      <c r="J33" s="860">
        <f>'COMP CIVIL'!F78</f>
        <v>4348.25</v>
      </c>
      <c r="K33" s="384"/>
    </row>
    <row r="34" spans="1:12" ht="15.75" thickBot="1">
      <c r="A34" s="170"/>
      <c r="B34" s="171"/>
      <c r="C34" s="1760"/>
      <c r="D34" s="173"/>
      <c r="E34" s="1573"/>
      <c r="F34" s="978"/>
      <c r="G34" s="979"/>
      <c r="H34" s="980" t="s">
        <v>16</v>
      </c>
      <c r="I34" s="176">
        <f>TRUNC(SUM(I19:I33),2)</f>
        <v>164314.85</v>
      </c>
      <c r="J34" s="379"/>
      <c r="K34" s="209"/>
    </row>
    <row r="35" spans="1:12">
      <c r="A35" s="593">
        <v>3</v>
      </c>
      <c r="B35" s="594"/>
      <c r="C35" s="595" t="s">
        <v>215</v>
      </c>
      <c r="D35" s="596"/>
      <c r="E35" s="1586"/>
      <c r="F35" s="981"/>
      <c r="G35" s="982"/>
      <c r="H35" s="982"/>
      <c r="I35" s="599"/>
      <c r="J35" s="476" t="s">
        <v>1410</v>
      </c>
      <c r="K35" s="822"/>
    </row>
    <row r="36" spans="1:12" ht="42.75" customHeight="1">
      <c r="A36" s="383" t="s">
        <v>19</v>
      </c>
      <c r="B36" s="146">
        <v>101113</v>
      </c>
      <c r="C36" s="683" t="s">
        <v>1243</v>
      </c>
      <c r="D36" s="323" t="s">
        <v>49</v>
      </c>
      <c r="E36" s="1572">
        <v>971.25</v>
      </c>
      <c r="F36" s="351">
        <f>IF(OR(E36&lt;=0)," ",TRUNC(G36,2))</f>
        <v>30.34</v>
      </c>
      <c r="G36" s="349">
        <v>30.34</v>
      </c>
      <c r="H36" s="352">
        <f>IF(OR(E36&lt;=0)," ",TRUNC((E36*(1+$I$10)),2))</f>
        <v>1187.1500000000001</v>
      </c>
      <c r="I36" s="169">
        <f>IF(OR(E36&lt;=0)," ",TRUNC((H36*F36),2))</f>
        <v>36018.129999999997</v>
      </c>
      <c r="J36" s="822" t="s">
        <v>489</v>
      </c>
      <c r="K36" s="181"/>
    </row>
    <row r="37" spans="1:12" ht="30.75" customHeight="1">
      <c r="A37" s="383" t="s">
        <v>2192</v>
      </c>
      <c r="B37" s="327">
        <v>96527</v>
      </c>
      <c r="C37" s="683" t="s">
        <v>655</v>
      </c>
      <c r="D37" s="323" t="s">
        <v>49</v>
      </c>
      <c r="E37" s="1575">
        <v>106.42</v>
      </c>
      <c r="F37" s="351">
        <f>IF(OR(E37&lt;=0)," ",TRUNC(G37,2))</f>
        <v>35.49</v>
      </c>
      <c r="G37" s="983">
        <v>35.49</v>
      </c>
      <c r="H37" s="352">
        <f>IF(OR(E37&lt;=0)," ",TRUNC((E37*(1+$I$10)),2))</f>
        <v>130.07</v>
      </c>
      <c r="I37" s="169">
        <f>IF(OR(E37&lt;=0)," ",TRUNC((H37*F37),2))</f>
        <v>4616.18</v>
      </c>
      <c r="J37" s="380"/>
      <c r="K37" s="534"/>
    </row>
    <row r="38" spans="1:12" ht="19.5" customHeight="1">
      <c r="A38" s="383" t="s">
        <v>71</v>
      </c>
      <c r="B38" s="146">
        <v>96995</v>
      </c>
      <c r="C38" s="706" t="s">
        <v>437</v>
      </c>
      <c r="D38" s="323" t="s">
        <v>49</v>
      </c>
      <c r="E38" s="1575">
        <v>42.74</v>
      </c>
      <c r="F38" s="351">
        <f>IF(OR(E38&lt;=0)," ",TRUNC(G38,2))</f>
        <v>25.81</v>
      </c>
      <c r="G38" s="983">
        <v>25.81</v>
      </c>
      <c r="H38" s="352">
        <f>IF(OR(E38&lt;=0)," ",TRUNC((E38*(1+$I$10)),2))</f>
        <v>52.24</v>
      </c>
      <c r="I38" s="169">
        <f>IF(OR(E38&lt;=0)," ",TRUNC((H38*F38),2))</f>
        <v>1348.31</v>
      </c>
      <c r="J38" s="693"/>
      <c r="K38" s="716" t="s">
        <v>1258</v>
      </c>
      <c r="L38" s="694"/>
    </row>
    <row r="39" spans="1:12" ht="15.75" thickBot="1">
      <c r="A39" s="385"/>
      <c r="B39" s="173"/>
      <c r="C39" s="173"/>
      <c r="D39" s="173"/>
      <c r="E39" s="1573"/>
      <c r="F39" s="978"/>
      <c r="G39" s="979"/>
      <c r="H39" s="980" t="s">
        <v>16</v>
      </c>
      <c r="I39" s="176">
        <f>TRUNC(SUM(I36:I38),2)</f>
        <v>41982.62</v>
      </c>
      <c r="J39" s="377"/>
      <c r="K39" s="125"/>
    </row>
    <row r="40" spans="1:12">
      <c r="A40" s="593">
        <v>4</v>
      </c>
      <c r="B40" s="594"/>
      <c r="C40" s="595" t="s">
        <v>1209</v>
      </c>
      <c r="D40" s="596"/>
      <c r="E40" s="1586"/>
      <c r="F40" s="981"/>
      <c r="G40" s="982"/>
      <c r="H40" s="982"/>
      <c r="I40" s="599"/>
      <c r="J40" s="476"/>
      <c r="K40" s="125"/>
    </row>
    <row r="41" spans="1:12">
      <c r="A41" s="381" t="s">
        <v>20</v>
      </c>
      <c r="B41" s="1614"/>
      <c r="C41" s="1615" t="s">
        <v>227</v>
      </c>
      <c r="D41" s="1614"/>
      <c r="E41" s="1628"/>
      <c r="F41" s="1616" t="str">
        <f t="shared" ref="F41:F93" si="3">IF(OR(E41&lt;=0)," ",TRUNC(G41,2))</f>
        <v xml:space="preserve"> </v>
      </c>
      <c r="G41" s="1617"/>
      <c r="H41" s="1617" t="str">
        <f t="shared" ref="H41:H93" si="4">IF(OR(E41&lt;=0)," ",TRUNC((E41*(1+$I$10)),2))</f>
        <v xml:space="preserve"> </v>
      </c>
      <c r="I41" s="1618" t="str">
        <f t="shared" ref="I41:I93" si="5">IF(OR(E41&lt;=0)," ",TRUNC((H41*F41),2))</f>
        <v xml:space="preserve"> </v>
      </c>
      <c r="J41" s="822" t="s">
        <v>489</v>
      </c>
      <c r="K41" s="125"/>
    </row>
    <row r="42" spans="1:12" ht="35.25" customHeight="1">
      <c r="A42" s="211" t="s">
        <v>222</v>
      </c>
      <c r="B42" s="1597">
        <v>96536</v>
      </c>
      <c r="C42" s="1598" t="s">
        <v>447</v>
      </c>
      <c r="D42" s="1597" t="s">
        <v>48</v>
      </c>
      <c r="E42" s="1592">
        <v>67.81</v>
      </c>
      <c r="F42" s="1593">
        <f t="shared" si="3"/>
        <v>153.22</v>
      </c>
      <c r="G42" s="1594">
        <v>153.22</v>
      </c>
      <c r="H42" s="1595">
        <f t="shared" si="4"/>
        <v>82.88</v>
      </c>
      <c r="I42" s="1596">
        <f t="shared" si="5"/>
        <v>12698.87</v>
      </c>
      <c r="J42" s="377"/>
      <c r="K42" s="125"/>
    </row>
    <row r="43" spans="1:12" ht="35.25" customHeight="1">
      <c r="A43" s="211" t="s">
        <v>221</v>
      </c>
      <c r="B43" s="1597">
        <v>94965</v>
      </c>
      <c r="C43" s="353" t="s">
        <v>444</v>
      </c>
      <c r="D43" s="1591" t="s">
        <v>49</v>
      </c>
      <c r="E43" s="1592">
        <v>475.49</v>
      </c>
      <c r="F43" s="1593">
        <f t="shared" si="3"/>
        <v>9.68</v>
      </c>
      <c r="G43" s="1594">
        <v>9.68</v>
      </c>
      <c r="H43" s="1595">
        <f t="shared" si="4"/>
        <v>581.19000000000005</v>
      </c>
      <c r="I43" s="1596">
        <f t="shared" si="5"/>
        <v>5625.91</v>
      </c>
      <c r="J43" s="377"/>
      <c r="K43" s="417"/>
    </row>
    <row r="44" spans="1:12" ht="28.5">
      <c r="A44" s="211" t="s">
        <v>223</v>
      </c>
      <c r="B44" s="1597">
        <v>103673</v>
      </c>
      <c r="C44" s="1598" t="s">
        <v>445</v>
      </c>
      <c r="D44" s="1591" t="s">
        <v>49</v>
      </c>
      <c r="E44" s="1592">
        <v>34.11</v>
      </c>
      <c r="F44" s="1593">
        <f t="shared" si="3"/>
        <v>9.68</v>
      </c>
      <c r="G44" s="1594">
        <v>9.68</v>
      </c>
      <c r="H44" s="1595">
        <f t="shared" si="4"/>
        <v>41.69</v>
      </c>
      <c r="I44" s="1596">
        <f t="shared" si="5"/>
        <v>403.55</v>
      </c>
      <c r="J44" s="209"/>
      <c r="K44" s="417"/>
    </row>
    <row r="45" spans="1:12" ht="33" customHeight="1">
      <c r="A45" s="211" t="s">
        <v>224</v>
      </c>
      <c r="B45" s="1597">
        <v>96543</v>
      </c>
      <c r="C45" s="1598" t="s">
        <v>446</v>
      </c>
      <c r="D45" s="1597" t="s">
        <v>104</v>
      </c>
      <c r="E45" s="1592">
        <v>18.89</v>
      </c>
      <c r="F45" s="1593">
        <f t="shared" si="3"/>
        <v>101.8</v>
      </c>
      <c r="G45" s="1594">
        <v>101.8</v>
      </c>
      <c r="H45" s="1595">
        <f t="shared" si="4"/>
        <v>23.08</v>
      </c>
      <c r="I45" s="1596">
        <f t="shared" si="5"/>
        <v>2349.54</v>
      </c>
      <c r="J45" s="209"/>
      <c r="K45" s="125"/>
    </row>
    <row r="46" spans="1:12" ht="47.25" customHeight="1">
      <c r="A46" s="211" t="s">
        <v>225</v>
      </c>
      <c r="B46" s="1597">
        <v>92777</v>
      </c>
      <c r="C46" s="1598" t="s">
        <v>453</v>
      </c>
      <c r="D46" s="1597" t="s">
        <v>104</v>
      </c>
      <c r="E46" s="1592">
        <v>16.739999999999998</v>
      </c>
      <c r="F46" s="1593">
        <f t="shared" si="3"/>
        <v>33.1</v>
      </c>
      <c r="G46" s="1594">
        <v>33.1</v>
      </c>
      <c r="H46" s="1595">
        <f t="shared" si="4"/>
        <v>20.46</v>
      </c>
      <c r="I46" s="1596">
        <f t="shared" si="5"/>
        <v>677.22</v>
      </c>
      <c r="J46" s="209"/>
      <c r="K46" s="125"/>
    </row>
    <row r="47" spans="1:12" ht="48" customHeight="1">
      <c r="A47" s="211" t="s">
        <v>226</v>
      </c>
      <c r="B47" s="1597">
        <v>92778</v>
      </c>
      <c r="C47" s="1598" t="s">
        <v>454</v>
      </c>
      <c r="D47" s="1597" t="s">
        <v>104</v>
      </c>
      <c r="E47" s="1592">
        <v>14.92</v>
      </c>
      <c r="F47" s="1593">
        <f t="shared" si="3"/>
        <v>368.7</v>
      </c>
      <c r="G47" s="1594">
        <v>368.7</v>
      </c>
      <c r="H47" s="1595">
        <f t="shared" si="4"/>
        <v>18.23</v>
      </c>
      <c r="I47" s="1596">
        <f t="shared" si="5"/>
        <v>6721.4</v>
      </c>
      <c r="J47" s="416"/>
      <c r="K47" s="125"/>
    </row>
    <row r="48" spans="1:12" ht="50.25" customHeight="1">
      <c r="A48" s="211" t="s">
        <v>228</v>
      </c>
      <c r="B48" s="1597">
        <v>92779</v>
      </c>
      <c r="C48" s="1598" t="s">
        <v>474</v>
      </c>
      <c r="D48" s="1597" t="s">
        <v>104</v>
      </c>
      <c r="E48" s="1592">
        <v>12.55</v>
      </c>
      <c r="F48" s="1593">
        <f t="shared" si="3"/>
        <v>20</v>
      </c>
      <c r="G48" s="1594">
        <v>20</v>
      </c>
      <c r="H48" s="1595">
        <f t="shared" si="4"/>
        <v>15.33</v>
      </c>
      <c r="I48" s="1596">
        <f t="shared" si="5"/>
        <v>306.60000000000002</v>
      </c>
      <c r="J48" s="386"/>
      <c r="K48" s="553"/>
    </row>
    <row r="49" spans="1:11">
      <c r="A49" s="1621" t="s">
        <v>21</v>
      </c>
      <c r="B49" s="1622"/>
      <c r="C49" s="1623" t="s">
        <v>1220</v>
      </c>
      <c r="D49" s="1622"/>
      <c r="E49" s="1624"/>
      <c r="F49" s="1625" t="str">
        <f t="shared" si="3"/>
        <v xml:space="preserve"> </v>
      </c>
      <c r="G49" s="1626"/>
      <c r="H49" s="1626" t="str">
        <f>IF(OR(E49&lt;=0)," ",TRUNC((E49*(1+$I$10)),2))</f>
        <v xml:space="preserve"> </v>
      </c>
      <c r="I49" s="1627" t="str">
        <f>IF(OR(E49&lt;=0)," ",TRUNC((H49*F49),2))</f>
        <v xml:space="preserve"> </v>
      </c>
      <c r="J49" s="822" t="s">
        <v>489</v>
      </c>
      <c r="K49" s="125"/>
    </row>
    <row r="50" spans="1:11" ht="22.5" customHeight="1">
      <c r="A50" s="211" t="s">
        <v>1244</v>
      </c>
      <c r="B50" s="1590" t="s">
        <v>479</v>
      </c>
      <c r="C50" s="1997" t="s">
        <v>1246</v>
      </c>
      <c r="D50" s="1591" t="s">
        <v>48</v>
      </c>
      <c r="E50" s="1592">
        <v>59.22</v>
      </c>
      <c r="F50" s="1593">
        <f t="shared" si="3"/>
        <v>13.32</v>
      </c>
      <c r="G50" s="1594">
        <v>13.32</v>
      </c>
      <c r="H50" s="1595">
        <f t="shared" si="4"/>
        <v>72.38</v>
      </c>
      <c r="I50" s="1596">
        <f t="shared" si="5"/>
        <v>964.1</v>
      </c>
      <c r="J50" s="563">
        <f>'COMP ESTRUT'!F28</f>
        <v>77.8</v>
      </c>
      <c r="K50" s="125"/>
    </row>
    <row r="51" spans="1:11" ht="35.25" customHeight="1">
      <c r="A51" s="211"/>
      <c r="B51" s="1597">
        <v>94965</v>
      </c>
      <c r="C51" s="353" t="s">
        <v>444</v>
      </c>
      <c r="D51" s="1591" t="s">
        <v>49</v>
      </c>
      <c r="E51" s="1592">
        <v>475.49</v>
      </c>
      <c r="F51" s="1593">
        <f>IF(OR(E51&lt;=0)," ",TRUNC(G51,2))</f>
        <v>30.34</v>
      </c>
      <c r="G51" s="1594">
        <v>30.34</v>
      </c>
      <c r="H51" s="1595">
        <f t="shared" si="4"/>
        <v>581.19000000000005</v>
      </c>
      <c r="I51" s="1596">
        <f t="shared" si="5"/>
        <v>17633.3</v>
      </c>
      <c r="J51" s="430"/>
      <c r="K51" s="125"/>
    </row>
    <row r="52" spans="1:11" ht="23.25" customHeight="1">
      <c r="A52" s="211" t="s">
        <v>229</v>
      </c>
      <c r="B52" s="1590" t="s">
        <v>480</v>
      </c>
      <c r="C52" s="1598" t="s">
        <v>1247</v>
      </c>
      <c r="D52" s="1591" t="s">
        <v>49</v>
      </c>
      <c r="E52" s="1592">
        <v>63.86</v>
      </c>
      <c r="F52" s="1593">
        <f t="shared" si="3"/>
        <v>30.34</v>
      </c>
      <c r="G52" s="1594">
        <v>30.34</v>
      </c>
      <c r="H52" s="1595">
        <f t="shared" si="4"/>
        <v>78.05</v>
      </c>
      <c r="I52" s="1596">
        <f t="shared" si="5"/>
        <v>2368.0300000000002</v>
      </c>
      <c r="J52" s="563">
        <f>'COMP ESTRUT'!F39</f>
        <v>71.66</v>
      </c>
      <c r="K52" s="125"/>
    </row>
    <row r="53" spans="1:11" ht="34.5" customHeight="1">
      <c r="A53" s="211" t="s">
        <v>230</v>
      </c>
      <c r="B53" s="1590" t="s">
        <v>1262</v>
      </c>
      <c r="C53" s="1598" t="s">
        <v>1249</v>
      </c>
      <c r="D53" s="1597" t="s">
        <v>104</v>
      </c>
      <c r="E53" s="1592">
        <v>54.22</v>
      </c>
      <c r="F53" s="1593">
        <f t="shared" si="3"/>
        <v>482</v>
      </c>
      <c r="G53" s="1594">
        <v>482</v>
      </c>
      <c r="H53" s="1595">
        <f t="shared" si="4"/>
        <v>66.27</v>
      </c>
      <c r="I53" s="1596">
        <f t="shared" si="5"/>
        <v>31942.14</v>
      </c>
      <c r="J53" s="563">
        <f>'COMP ESTRUT'!F58</f>
        <v>56.057738000000001</v>
      </c>
      <c r="K53" s="125"/>
    </row>
    <row r="54" spans="1:11" ht="15.75" thickBot="1">
      <c r="A54" s="1599" t="s">
        <v>22</v>
      </c>
      <c r="B54" s="1600"/>
      <c r="C54" s="1601" t="s">
        <v>1414</v>
      </c>
      <c r="D54" s="1600"/>
      <c r="E54" s="1602"/>
      <c r="F54" s="1603" t="str">
        <f t="shared" si="3"/>
        <v xml:space="preserve"> </v>
      </c>
      <c r="G54" s="1604"/>
      <c r="H54" s="1604" t="str">
        <f>IF(OR(E54&lt;=0)," ",TRUNC((E54*(1+$I$10)),2))</f>
        <v xml:space="preserve"> </v>
      </c>
      <c r="I54" s="1605" t="str">
        <f t="shared" si="5"/>
        <v xml:space="preserve"> </v>
      </c>
      <c r="J54" s="378" t="s">
        <v>1481</v>
      </c>
      <c r="K54" s="380"/>
    </row>
    <row r="55" spans="1:11" ht="48.75" customHeight="1">
      <c r="A55" s="1606" t="s">
        <v>231</v>
      </c>
      <c r="B55" s="1607">
        <v>92522</v>
      </c>
      <c r="C55" s="1608" t="s">
        <v>1803</v>
      </c>
      <c r="D55" s="1607" t="s">
        <v>48</v>
      </c>
      <c r="E55" s="1579">
        <v>41.65</v>
      </c>
      <c r="F55" s="1609">
        <f t="shared" si="3"/>
        <v>61.4</v>
      </c>
      <c r="G55" s="1610">
        <v>61.4</v>
      </c>
      <c r="H55" s="1611">
        <f t="shared" si="4"/>
        <v>50.9</v>
      </c>
      <c r="I55" s="1612">
        <f t="shared" si="5"/>
        <v>3125.26</v>
      </c>
      <c r="J55" s="822" t="s">
        <v>489</v>
      </c>
      <c r="K55" s="378"/>
    </row>
    <row r="56" spans="1:11" ht="33" customHeight="1">
      <c r="A56" s="213" t="s">
        <v>232</v>
      </c>
      <c r="B56" s="1597">
        <v>94965</v>
      </c>
      <c r="C56" s="1548" t="s">
        <v>444</v>
      </c>
      <c r="D56" s="1591" t="s">
        <v>49</v>
      </c>
      <c r="E56" s="1592">
        <v>475.49</v>
      </c>
      <c r="F56" s="1593">
        <f t="shared" si="3"/>
        <v>11.07</v>
      </c>
      <c r="G56" s="1594">
        <v>11.07</v>
      </c>
      <c r="H56" s="1595">
        <f t="shared" si="4"/>
        <v>581.19000000000005</v>
      </c>
      <c r="I56" s="1596">
        <f t="shared" si="5"/>
        <v>6433.77</v>
      </c>
      <c r="J56" s="554"/>
      <c r="K56" s="378"/>
    </row>
    <row r="57" spans="1:11" ht="33.75" customHeight="1">
      <c r="A57" s="213" t="s">
        <v>233</v>
      </c>
      <c r="B57" s="1597">
        <v>103673</v>
      </c>
      <c r="C57" s="1613" t="s">
        <v>445</v>
      </c>
      <c r="D57" s="1591" t="s">
        <v>49</v>
      </c>
      <c r="E57" s="1592">
        <v>34.11</v>
      </c>
      <c r="F57" s="1593">
        <f t="shared" si="3"/>
        <v>11.07</v>
      </c>
      <c r="G57" s="1594">
        <v>11.07</v>
      </c>
      <c r="H57" s="1595">
        <f t="shared" si="4"/>
        <v>41.69</v>
      </c>
      <c r="I57" s="1596">
        <f t="shared" si="5"/>
        <v>461.5</v>
      </c>
      <c r="J57" s="554"/>
      <c r="K57" s="378"/>
    </row>
    <row r="58" spans="1:11" ht="46.5" customHeight="1">
      <c r="A58" s="213" t="s">
        <v>234</v>
      </c>
      <c r="B58" s="1597">
        <v>92784</v>
      </c>
      <c r="C58" s="1613" t="s">
        <v>1416</v>
      </c>
      <c r="D58" s="1597" t="s">
        <v>104</v>
      </c>
      <c r="E58" s="1592">
        <v>16.88</v>
      </c>
      <c r="F58" s="1593">
        <f t="shared" si="3"/>
        <v>113.63</v>
      </c>
      <c r="G58" s="1594">
        <v>113.63</v>
      </c>
      <c r="H58" s="1595">
        <f t="shared" si="4"/>
        <v>20.63</v>
      </c>
      <c r="I58" s="1596">
        <f t="shared" si="5"/>
        <v>2344.1799999999998</v>
      </c>
      <c r="J58" s="554"/>
      <c r="K58" s="378"/>
    </row>
    <row r="59" spans="1:11" ht="46.5" customHeight="1">
      <c r="A59" s="213" t="s">
        <v>235</v>
      </c>
      <c r="B59" s="1597">
        <v>92785</v>
      </c>
      <c r="C59" s="1613" t="s">
        <v>1417</v>
      </c>
      <c r="D59" s="1597" t="s">
        <v>104</v>
      </c>
      <c r="E59" s="1592">
        <v>16.309999999999999</v>
      </c>
      <c r="F59" s="1593">
        <f t="shared" si="3"/>
        <v>322</v>
      </c>
      <c r="G59" s="1594">
        <v>322</v>
      </c>
      <c r="H59" s="1595">
        <f t="shared" si="4"/>
        <v>19.93</v>
      </c>
      <c r="I59" s="1596">
        <f t="shared" si="5"/>
        <v>6417.46</v>
      </c>
      <c r="J59" s="554"/>
      <c r="K59" s="378"/>
    </row>
    <row r="60" spans="1:11" ht="46.5" customHeight="1">
      <c r="A60" s="213" t="s">
        <v>236</v>
      </c>
      <c r="B60" s="1597">
        <v>92786</v>
      </c>
      <c r="C60" s="1613" t="s">
        <v>450</v>
      </c>
      <c r="D60" s="1597" t="s">
        <v>104</v>
      </c>
      <c r="E60" s="1592">
        <v>15.54</v>
      </c>
      <c r="F60" s="1593">
        <f t="shared" si="3"/>
        <v>28.07</v>
      </c>
      <c r="G60" s="1594">
        <v>28.07</v>
      </c>
      <c r="H60" s="1595">
        <f t="shared" si="4"/>
        <v>18.989999999999998</v>
      </c>
      <c r="I60" s="1596">
        <f t="shared" si="5"/>
        <v>533.04</v>
      </c>
      <c r="J60" s="554"/>
      <c r="K60" s="378"/>
    </row>
    <row r="61" spans="1:11" ht="46.5" customHeight="1">
      <c r="A61" s="213" t="s">
        <v>237</v>
      </c>
      <c r="B61" s="1597">
        <v>92787</v>
      </c>
      <c r="C61" s="1613" t="s">
        <v>1418</v>
      </c>
      <c r="D61" s="1597" t="s">
        <v>104</v>
      </c>
      <c r="E61" s="1592">
        <v>13.98</v>
      </c>
      <c r="F61" s="1593">
        <f t="shared" si="3"/>
        <v>103.3</v>
      </c>
      <c r="G61" s="1594">
        <v>103.3</v>
      </c>
      <c r="H61" s="1595">
        <f t="shared" si="4"/>
        <v>17.079999999999998</v>
      </c>
      <c r="I61" s="1596">
        <f t="shared" si="5"/>
        <v>1764.36</v>
      </c>
      <c r="J61" s="554"/>
      <c r="K61" s="378"/>
    </row>
    <row r="62" spans="1:11" ht="46.5" customHeight="1">
      <c r="A62" s="213" t="s">
        <v>238</v>
      </c>
      <c r="B62" s="1597">
        <v>92788</v>
      </c>
      <c r="C62" s="1613" t="s">
        <v>1419</v>
      </c>
      <c r="D62" s="1597" t="s">
        <v>104</v>
      </c>
      <c r="E62" s="1592">
        <v>11.82</v>
      </c>
      <c r="F62" s="1593">
        <f t="shared" si="3"/>
        <v>114.3</v>
      </c>
      <c r="G62" s="1594">
        <v>114.3</v>
      </c>
      <c r="H62" s="1595">
        <f t="shared" si="4"/>
        <v>14.44</v>
      </c>
      <c r="I62" s="1596">
        <f t="shared" si="5"/>
        <v>1650.49</v>
      </c>
      <c r="J62" s="554"/>
      <c r="K62" s="378"/>
    </row>
    <row r="63" spans="1:11" ht="18" customHeight="1">
      <c r="A63" s="381" t="s">
        <v>23</v>
      </c>
      <c r="B63" s="1614"/>
      <c r="C63" s="1615" t="s">
        <v>1415</v>
      </c>
      <c r="D63" s="1614"/>
      <c r="E63" s="1628"/>
      <c r="F63" s="1616" t="str">
        <f>IF(OR(E63&lt;=0)," ",TRUNC(G63,2))</f>
        <v xml:space="preserve"> </v>
      </c>
      <c r="G63" s="1617"/>
      <c r="H63" s="1617" t="str">
        <f>IF(OR(E63&lt;=0)," ",TRUNC((E63*(1+$I$10)),2))</f>
        <v xml:space="preserve"> </v>
      </c>
      <c r="I63" s="1618" t="str">
        <f>IF(OR(E63&lt;=0)," ",TRUNC((H63*F63),2))</f>
        <v xml:space="preserve"> </v>
      </c>
      <c r="J63" s="822" t="s">
        <v>489</v>
      </c>
      <c r="K63" s="378"/>
    </row>
    <row r="64" spans="1:11" ht="28.5" customHeight="1">
      <c r="A64" s="213" t="s">
        <v>240</v>
      </c>
      <c r="B64" s="1590" t="s">
        <v>1441</v>
      </c>
      <c r="C64" s="1613" t="s">
        <v>1488</v>
      </c>
      <c r="D64" s="1619" t="s">
        <v>48</v>
      </c>
      <c r="E64" s="1592">
        <v>129.28</v>
      </c>
      <c r="F64" s="1593">
        <f t="shared" si="3"/>
        <v>209</v>
      </c>
      <c r="G64" s="1594">
        <v>209</v>
      </c>
      <c r="H64" s="1595">
        <f t="shared" si="4"/>
        <v>158.01</v>
      </c>
      <c r="I64" s="1596">
        <f t="shared" si="5"/>
        <v>33024.089999999997</v>
      </c>
      <c r="J64" s="564">
        <f>'COMP ESTRUT'!F76</f>
        <v>152.61000000000001</v>
      </c>
      <c r="K64" s="644" t="s">
        <v>2145</v>
      </c>
    </row>
    <row r="65" spans="1:11" ht="47.25" customHeight="1">
      <c r="A65" s="213" t="s">
        <v>244</v>
      </c>
      <c r="B65" s="1597">
        <v>92784</v>
      </c>
      <c r="C65" s="1613" t="s">
        <v>1416</v>
      </c>
      <c r="D65" s="1597" t="s">
        <v>104</v>
      </c>
      <c r="E65" s="1592">
        <v>16.88</v>
      </c>
      <c r="F65" s="1593">
        <f t="shared" si="3"/>
        <v>97.45</v>
      </c>
      <c r="G65" s="1594">
        <v>97.45</v>
      </c>
      <c r="H65" s="1595">
        <f t="shared" si="4"/>
        <v>20.63</v>
      </c>
      <c r="I65" s="1596">
        <f t="shared" si="5"/>
        <v>2010.39</v>
      </c>
      <c r="J65" s="378"/>
      <c r="K65" s="380"/>
    </row>
    <row r="66" spans="1:11" ht="47.25" customHeight="1">
      <c r="A66" s="213" t="s">
        <v>1263</v>
      </c>
      <c r="B66" s="1597">
        <v>92785</v>
      </c>
      <c r="C66" s="1613" t="s">
        <v>1417</v>
      </c>
      <c r="D66" s="1597" t="s">
        <v>104</v>
      </c>
      <c r="E66" s="1592">
        <v>16.309999999999999</v>
      </c>
      <c r="F66" s="1593">
        <f t="shared" si="3"/>
        <v>160</v>
      </c>
      <c r="G66" s="1594">
        <v>160</v>
      </c>
      <c r="H66" s="1595">
        <f t="shared" si="4"/>
        <v>19.93</v>
      </c>
      <c r="I66" s="1596">
        <f t="shared" si="5"/>
        <v>3188.8</v>
      </c>
      <c r="J66" s="378"/>
      <c r="K66" s="380"/>
    </row>
    <row r="67" spans="1:11" ht="45.75" customHeight="1">
      <c r="A67" s="213" t="s">
        <v>1420</v>
      </c>
      <c r="B67" s="1597">
        <v>92786</v>
      </c>
      <c r="C67" s="1613" t="s">
        <v>450</v>
      </c>
      <c r="D67" s="1597" t="s">
        <v>104</v>
      </c>
      <c r="E67" s="1592">
        <v>15.54</v>
      </c>
      <c r="F67" s="1593">
        <f t="shared" si="3"/>
        <v>73.03</v>
      </c>
      <c r="G67" s="1594">
        <v>73.03</v>
      </c>
      <c r="H67" s="1595">
        <f t="shared" si="4"/>
        <v>18.989999999999998</v>
      </c>
      <c r="I67" s="1596">
        <f t="shared" si="5"/>
        <v>1386.83</v>
      </c>
      <c r="J67" s="378"/>
      <c r="K67" s="542"/>
    </row>
    <row r="68" spans="1:11" ht="47.25" customHeight="1">
      <c r="A68" s="213" t="s">
        <v>1264</v>
      </c>
      <c r="B68" s="1597">
        <v>92787</v>
      </c>
      <c r="C68" s="1613" t="s">
        <v>1418</v>
      </c>
      <c r="D68" s="1597" t="s">
        <v>104</v>
      </c>
      <c r="E68" s="1592">
        <v>13.98</v>
      </c>
      <c r="F68" s="1593">
        <f t="shared" si="3"/>
        <v>11.8</v>
      </c>
      <c r="G68" s="1594">
        <v>11.8</v>
      </c>
      <c r="H68" s="1595">
        <f t="shared" si="4"/>
        <v>17.079999999999998</v>
      </c>
      <c r="I68" s="1596">
        <f t="shared" si="5"/>
        <v>201.54</v>
      </c>
      <c r="J68" s="378"/>
      <c r="K68" s="607"/>
    </row>
    <row r="69" spans="1:11">
      <c r="A69" s="381" t="s">
        <v>23</v>
      </c>
      <c r="B69" s="1614"/>
      <c r="C69" s="1615" t="s">
        <v>239</v>
      </c>
      <c r="D69" s="1614"/>
      <c r="E69" s="1628"/>
      <c r="F69" s="1616" t="str">
        <f t="shared" si="3"/>
        <v xml:space="preserve"> </v>
      </c>
      <c r="G69" s="1617"/>
      <c r="H69" s="1617" t="str">
        <f t="shared" si="4"/>
        <v xml:space="preserve"> </v>
      </c>
      <c r="I69" s="1618" t="str">
        <f t="shared" si="5"/>
        <v xml:space="preserve"> </v>
      </c>
      <c r="J69" s="822" t="s">
        <v>489</v>
      </c>
      <c r="K69" s="125"/>
    </row>
    <row r="70" spans="1:11" ht="58.5" customHeight="1">
      <c r="A70" s="213" t="s">
        <v>240</v>
      </c>
      <c r="B70" s="1597">
        <v>92431</v>
      </c>
      <c r="C70" s="1613" t="s">
        <v>449</v>
      </c>
      <c r="D70" s="1597" t="s">
        <v>48</v>
      </c>
      <c r="E70" s="1592">
        <v>56.76</v>
      </c>
      <c r="F70" s="1593">
        <f t="shared" si="3"/>
        <v>193.57</v>
      </c>
      <c r="G70" s="1594">
        <v>193.57</v>
      </c>
      <c r="H70" s="1595">
        <f t="shared" si="4"/>
        <v>69.37</v>
      </c>
      <c r="I70" s="1596">
        <f t="shared" si="5"/>
        <v>13427.95</v>
      </c>
      <c r="J70" s="378"/>
      <c r="K70" s="125"/>
    </row>
    <row r="71" spans="1:11" ht="37.5" customHeight="1" thickBot="1">
      <c r="A71" s="170" t="s">
        <v>241</v>
      </c>
      <c r="B71" s="173">
        <v>94965</v>
      </c>
      <c r="C71" s="1761" t="s">
        <v>444</v>
      </c>
      <c r="D71" s="1762" t="s">
        <v>49</v>
      </c>
      <c r="E71" s="1573">
        <v>475.49</v>
      </c>
      <c r="F71" s="988">
        <f t="shared" si="3"/>
        <v>10.77</v>
      </c>
      <c r="G71" s="1647">
        <v>10.77</v>
      </c>
      <c r="H71" s="979">
        <f t="shared" si="4"/>
        <v>581.19000000000005</v>
      </c>
      <c r="I71" s="1648">
        <f t="shared" si="5"/>
        <v>6259.41</v>
      </c>
      <c r="J71" s="378"/>
      <c r="K71" s="125"/>
    </row>
    <row r="72" spans="1:11" ht="28.5">
      <c r="A72" s="1606" t="s">
        <v>242</v>
      </c>
      <c r="B72" s="1607">
        <v>103673</v>
      </c>
      <c r="C72" s="1608" t="s">
        <v>445</v>
      </c>
      <c r="D72" s="1763" t="s">
        <v>49</v>
      </c>
      <c r="E72" s="1579">
        <v>34.11</v>
      </c>
      <c r="F72" s="1609">
        <f t="shared" si="3"/>
        <v>10.77</v>
      </c>
      <c r="G72" s="1610">
        <v>10.77</v>
      </c>
      <c r="H72" s="1611">
        <f t="shared" si="4"/>
        <v>41.69</v>
      </c>
      <c r="I72" s="1612">
        <f t="shared" si="5"/>
        <v>449</v>
      </c>
      <c r="J72" s="378"/>
      <c r="K72" s="125"/>
    </row>
    <row r="73" spans="1:11" ht="48.75" customHeight="1">
      <c r="A73" s="213" t="s">
        <v>243</v>
      </c>
      <c r="B73" s="1597">
        <v>92775</v>
      </c>
      <c r="C73" s="1613" t="s">
        <v>451</v>
      </c>
      <c r="D73" s="1597" t="s">
        <v>104</v>
      </c>
      <c r="E73" s="1592">
        <v>18.91</v>
      </c>
      <c r="F73" s="1593">
        <f t="shared" si="3"/>
        <v>254.9</v>
      </c>
      <c r="G73" s="1594">
        <v>254.9</v>
      </c>
      <c r="H73" s="1595">
        <f t="shared" si="4"/>
        <v>23.11</v>
      </c>
      <c r="I73" s="1596">
        <f t="shared" si="5"/>
        <v>5890.73</v>
      </c>
      <c r="J73" s="555"/>
      <c r="K73" s="125"/>
    </row>
    <row r="74" spans="1:11" ht="48" customHeight="1">
      <c r="A74" s="213" t="s">
        <v>244</v>
      </c>
      <c r="B74" s="1597">
        <v>92778</v>
      </c>
      <c r="C74" s="1613" t="s">
        <v>454</v>
      </c>
      <c r="D74" s="1597" t="s">
        <v>104</v>
      </c>
      <c r="E74" s="1592">
        <v>14.92</v>
      </c>
      <c r="F74" s="1593">
        <f t="shared" si="3"/>
        <v>574.1</v>
      </c>
      <c r="G74" s="1594">
        <v>574.1</v>
      </c>
      <c r="H74" s="1595">
        <f t="shared" si="4"/>
        <v>18.23</v>
      </c>
      <c r="I74" s="1596">
        <f t="shared" si="5"/>
        <v>10465.84</v>
      </c>
      <c r="J74" s="555"/>
      <c r="K74" s="125"/>
    </row>
    <row r="75" spans="1:11" ht="49.5" customHeight="1">
      <c r="A75" s="213" t="s">
        <v>1263</v>
      </c>
      <c r="B75" s="1597">
        <v>92779</v>
      </c>
      <c r="C75" s="1620" t="s">
        <v>1266</v>
      </c>
      <c r="D75" s="1597" t="s">
        <v>104</v>
      </c>
      <c r="E75" s="1592">
        <v>12.55</v>
      </c>
      <c r="F75" s="1593">
        <f t="shared" si="3"/>
        <v>11.1</v>
      </c>
      <c r="G75" s="1594">
        <v>11.1</v>
      </c>
      <c r="H75" s="1595">
        <f t="shared" si="4"/>
        <v>15.33</v>
      </c>
      <c r="I75" s="1596">
        <f t="shared" si="5"/>
        <v>170.16</v>
      </c>
      <c r="J75" s="555"/>
      <c r="K75" s="125"/>
    </row>
    <row r="76" spans="1:11" ht="48.75" customHeight="1">
      <c r="A76" s="213" t="s">
        <v>1264</v>
      </c>
      <c r="B76" s="1597">
        <v>92780</v>
      </c>
      <c r="C76" s="706" t="s">
        <v>1265</v>
      </c>
      <c r="D76" s="1597" t="s">
        <v>104</v>
      </c>
      <c r="E76" s="1592">
        <v>11.86</v>
      </c>
      <c r="F76" s="1593">
        <f t="shared" si="3"/>
        <v>428.3</v>
      </c>
      <c r="G76" s="1594">
        <v>428.3</v>
      </c>
      <c r="H76" s="1595">
        <f t="shared" si="4"/>
        <v>14.49</v>
      </c>
      <c r="I76" s="1596">
        <f t="shared" si="5"/>
        <v>6206.06</v>
      </c>
      <c r="J76" s="555"/>
      <c r="K76" s="555"/>
    </row>
    <row r="77" spans="1:11">
      <c r="A77" s="381" t="s">
        <v>220</v>
      </c>
      <c r="B77" s="1614"/>
      <c r="C77" s="1615" t="s">
        <v>663</v>
      </c>
      <c r="D77" s="1614"/>
      <c r="E77" s="1628"/>
      <c r="F77" s="1616" t="str">
        <f t="shared" si="3"/>
        <v xml:space="preserve"> </v>
      </c>
      <c r="G77" s="1617"/>
      <c r="H77" s="1617" t="str">
        <f t="shared" si="4"/>
        <v xml:space="preserve"> </v>
      </c>
      <c r="I77" s="1618" t="str">
        <f t="shared" si="5"/>
        <v xml:space="preserve"> </v>
      </c>
      <c r="J77" s="822" t="s">
        <v>489</v>
      </c>
      <c r="K77" s="125"/>
    </row>
    <row r="78" spans="1:11" ht="48" customHeight="1">
      <c r="A78" s="213" t="s">
        <v>245</v>
      </c>
      <c r="B78" s="1597">
        <v>92479</v>
      </c>
      <c r="C78" s="1613" t="s">
        <v>448</v>
      </c>
      <c r="D78" s="1597" t="s">
        <v>48</v>
      </c>
      <c r="E78" s="1592">
        <v>68.260000000000005</v>
      </c>
      <c r="F78" s="1593">
        <f t="shared" si="3"/>
        <v>164.63</v>
      </c>
      <c r="G78" s="1594">
        <v>164.63</v>
      </c>
      <c r="H78" s="1595">
        <f t="shared" si="4"/>
        <v>83.43</v>
      </c>
      <c r="I78" s="1596">
        <f t="shared" si="5"/>
        <v>13735.08</v>
      </c>
      <c r="J78" s="556"/>
      <c r="K78" s="125"/>
    </row>
    <row r="79" spans="1:11" ht="30.75" customHeight="1">
      <c r="A79" s="213" t="s">
        <v>246</v>
      </c>
      <c r="B79" s="1597">
        <v>94965</v>
      </c>
      <c r="C79" s="1548" t="s">
        <v>444</v>
      </c>
      <c r="D79" s="1591" t="s">
        <v>49</v>
      </c>
      <c r="E79" s="1592">
        <v>475.49</v>
      </c>
      <c r="F79" s="1593">
        <f t="shared" si="3"/>
        <v>10.77</v>
      </c>
      <c r="G79" s="1594">
        <v>10.77</v>
      </c>
      <c r="H79" s="1595">
        <f t="shared" si="4"/>
        <v>581.19000000000005</v>
      </c>
      <c r="I79" s="1596">
        <f t="shared" si="5"/>
        <v>6259.41</v>
      </c>
      <c r="J79" s="556"/>
      <c r="K79" s="125"/>
    </row>
    <row r="80" spans="1:11" ht="30.75" customHeight="1">
      <c r="A80" s="213" t="s">
        <v>247</v>
      </c>
      <c r="B80" s="1597">
        <v>103673</v>
      </c>
      <c r="C80" s="1613" t="s">
        <v>445</v>
      </c>
      <c r="D80" s="1591" t="s">
        <v>49</v>
      </c>
      <c r="E80" s="1592">
        <v>34.11</v>
      </c>
      <c r="F80" s="1593">
        <f t="shared" si="3"/>
        <v>10.77</v>
      </c>
      <c r="G80" s="1594">
        <v>10.77</v>
      </c>
      <c r="H80" s="1595">
        <f t="shared" si="4"/>
        <v>41.69</v>
      </c>
      <c r="I80" s="1596">
        <f t="shared" si="5"/>
        <v>449</v>
      </c>
      <c r="J80" s="556"/>
      <c r="K80" s="125"/>
    </row>
    <row r="81" spans="1:11" ht="48" customHeight="1">
      <c r="A81" s="213" t="s">
        <v>248</v>
      </c>
      <c r="B81" s="1597">
        <v>92775</v>
      </c>
      <c r="C81" s="1613" t="s">
        <v>451</v>
      </c>
      <c r="D81" s="1597" t="s">
        <v>104</v>
      </c>
      <c r="E81" s="1592">
        <v>18.91</v>
      </c>
      <c r="F81" s="1593">
        <f t="shared" si="3"/>
        <v>137.9</v>
      </c>
      <c r="G81" s="1594">
        <v>137.9</v>
      </c>
      <c r="H81" s="1595">
        <f t="shared" si="4"/>
        <v>23.11</v>
      </c>
      <c r="I81" s="1596">
        <f t="shared" si="5"/>
        <v>3186.86</v>
      </c>
      <c r="J81" s="556"/>
      <c r="K81" s="696"/>
    </row>
    <row r="82" spans="1:11" ht="48.75" customHeight="1">
      <c r="A82" s="213" t="s">
        <v>249</v>
      </c>
      <c r="B82" s="1597">
        <v>92776</v>
      </c>
      <c r="C82" s="1613" t="s">
        <v>452</v>
      </c>
      <c r="D82" s="1597" t="s">
        <v>104</v>
      </c>
      <c r="E82" s="1592">
        <v>17.86</v>
      </c>
      <c r="F82" s="1593">
        <f t="shared" si="3"/>
        <v>131.5</v>
      </c>
      <c r="G82" s="1594">
        <v>131.5</v>
      </c>
      <c r="H82" s="1595">
        <f t="shared" si="4"/>
        <v>21.83</v>
      </c>
      <c r="I82" s="1596">
        <f t="shared" si="5"/>
        <v>2870.64</v>
      </c>
      <c r="J82" s="556"/>
      <c r="K82" s="696"/>
    </row>
    <row r="83" spans="1:11" ht="50.25" customHeight="1">
      <c r="A83" s="213" t="s">
        <v>250</v>
      </c>
      <c r="B83" s="1597">
        <v>92777</v>
      </c>
      <c r="C83" s="1613" t="s">
        <v>453</v>
      </c>
      <c r="D83" s="1597" t="s">
        <v>104</v>
      </c>
      <c r="E83" s="1592">
        <v>16.739999999999998</v>
      </c>
      <c r="F83" s="1593">
        <f t="shared" si="3"/>
        <v>54.8</v>
      </c>
      <c r="G83" s="1594">
        <v>54.8</v>
      </c>
      <c r="H83" s="1595">
        <f t="shared" si="4"/>
        <v>20.46</v>
      </c>
      <c r="I83" s="1596">
        <f t="shared" si="5"/>
        <v>1121.2</v>
      </c>
      <c r="J83" s="556"/>
      <c r="K83" s="696"/>
    </row>
    <row r="84" spans="1:11" ht="48.75" customHeight="1">
      <c r="A84" s="213" t="s">
        <v>251</v>
      </c>
      <c r="B84" s="1597">
        <v>92778</v>
      </c>
      <c r="C84" s="1613" t="s">
        <v>454</v>
      </c>
      <c r="D84" s="1597" t="s">
        <v>104</v>
      </c>
      <c r="E84" s="1578">
        <v>14.92</v>
      </c>
      <c r="F84" s="1593">
        <f t="shared" si="3"/>
        <v>329.4</v>
      </c>
      <c r="G84" s="1589">
        <v>329.4</v>
      </c>
      <c r="H84" s="1595">
        <f t="shared" si="4"/>
        <v>18.23</v>
      </c>
      <c r="I84" s="1596">
        <f t="shared" si="5"/>
        <v>6004.96</v>
      </c>
      <c r="J84" s="557"/>
      <c r="K84" s="696"/>
    </row>
    <row r="85" spans="1:11" ht="48.75" customHeight="1">
      <c r="A85" s="213" t="s">
        <v>1267</v>
      </c>
      <c r="B85" s="1597">
        <v>92779</v>
      </c>
      <c r="C85" s="1620" t="s">
        <v>1266</v>
      </c>
      <c r="D85" s="1597" t="s">
        <v>104</v>
      </c>
      <c r="E85" s="1578">
        <v>12.55</v>
      </c>
      <c r="F85" s="1588">
        <f t="shared" si="3"/>
        <v>21.5</v>
      </c>
      <c r="G85" s="1589">
        <v>21.5</v>
      </c>
      <c r="H85" s="1500">
        <f t="shared" si="4"/>
        <v>15.33</v>
      </c>
      <c r="I85" s="1511">
        <f t="shared" si="5"/>
        <v>329.59</v>
      </c>
      <c r="J85" s="557"/>
      <c r="K85" s="696"/>
    </row>
    <row r="86" spans="1:11" ht="48.75" customHeight="1">
      <c r="A86" s="213" t="s">
        <v>1268</v>
      </c>
      <c r="B86" s="1597">
        <v>92780</v>
      </c>
      <c r="C86" s="1620" t="s">
        <v>1265</v>
      </c>
      <c r="D86" s="1597" t="s">
        <v>104</v>
      </c>
      <c r="E86" s="1578">
        <v>11.86</v>
      </c>
      <c r="F86" s="1588">
        <f t="shared" si="3"/>
        <v>90.4</v>
      </c>
      <c r="G86" s="1589">
        <v>90.4</v>
      </c>
      <c r="H86" s="1500">
        <f t="shared" si="4"/>
        <v>14.49</v>
      </c>
      <c r="I86" s="1511">
        <f t="shared" si="5"/>
        <v>1309.8900000000001</v>
      </c>
      <c r="J86" s="557"/>
      <c r="K86" s="696"/>
    </row>
    <row r="87" spans="1:11" ht="48.75" customHeight="1" thickBot="1">
      <c r="A87" s="1636" t="s">
        <v>1269</v>
      </c>
      <c r="B87" s="1498">
        <v>92781</v>
      </c>
      <c r="C87" s="706" t="s">
        <v>1270</v>
      </c>
      <c r="D87" s="1498" t="s">
        <v>104</v>
      </c>
      <c r="E87" s="1578">
        <v>13.26</v>
      </c>
      <c r="F87" s="1588">
        <f t="shared" si="3"/>
        <v>40.200000000000003</v>
      </c>
      <c r="G87" s="1589">
        <v>40.200000000000003</v>
      </c>
      <c r="H87" s="1500">
        <f t="shared" si="4"/>
        <v>16.2</v>
      </c>
      <c r="I87" s="1511">
        <f t="shared" si="5"/>
        <v>651.24</v>
      </c>
      <c r="J87" s="557"/>
      <c r="K87" s="696"/>
    </row>
    <row r="88" spans="1:11" ht="13.5" customHeight="1" thickBot="1">
      <c r="A88" s="1990" t="s">
        <v>1271</v>
      </c>
      <c r="B88" s="1991"/>
      <c r="C88" s="1992" t="s">
        <v>1272</v>
      </c>
      <c r="D88" s="1991"/>
      <c r="E88" s="1993"/>
      <c r="F88" s="1994" t="str">
        <f>IF(OR(E88&lt;=0)," ",TRUNC(G88,2))</f>
        <v xml:space="preserve"> </v>
      </c>
      <c r="G88" s="1995"/>
      <c r="H88" s="1995" t="str">
        <f>IF(OR(E88&lt;=0)," ",TRUNC((E88*(1+$I$10)),2))</f>
        <v xml:space="preserve"> </v>
      </c>
      <c r="I88" s="1996" t="str">
        <f>IF(OR(E88&lt;=0)," ",TRUNC((H88*F88),2))</f>
        <v xml:space="preserve"> </v>
      </c>
      <c r="J88" s="822" t="s">
        <v>489</v>
      </c>
      <c r="K88" s="125"/>
    </row>
    <row r="89" spans="1:11" ht="41.25" customHeight="1">
      <c r="A89" s="1630" t="s">
        <v>1273</v>
      </c>
      <c r="B89" s="1607">
        <v>92479</v>
      </c>
      <c r="C89" s="1608" t="s">
        <v>448</v>
      </c>
      <c r="D89" s="1607" t="s">
        <v>48</v>
      </c>
      <c r="E89" s="1631">
        <v>68.260000000000005</v>
      </c>
      <c r="F89" s="1632">
        <f t="shared" si="3"/>
        <v>32.53</v>
      </c>
      <c r="G89" s="1633">
        <v>32.53</v>
      </c>
      <c r="H89" s="1634">
        <f t="shared" si="4"/>
        <v>83.43</v>
      </c>
      <c r="I89" s="1635">
        <f t="shared" si="5"/>
        <v>2713.97</v>
      </c>
      <c r="J89" s="344"/>
      <c r="K89" s="125"/>
    </row>
    <row r="90" spans="1:11" ht="34.5" customHeight="1">
      <c r="A90" s="709" t="s">
        <v>1274</v>
      </c>
      <c r="B90" s="254">
        <v>94965</v>
      </c>
      <c r="C90" s="1764" t="s">
        <v>444</v>
      </c>
      <c r="D90" s="323" t="s">
        <v>49</v>
      </c>
      <c r="E90" s="1968">
        <v>475.49</v>
      </c>
      <c r="F90" s="1588">
        <f t="shared" si="3"/>
        <v>1.88</v>
      </c>
      <c r="G90" s="975">
        <v>1.88</v>
      </c>
      <c r="H90" s="1500">
        <f t="shared" si="4"/>
        <v>581.19000000000005</v>
      </c>
      <c r="I90" s="1511">
        <f t="shared" si="5"/>
        <v>1092.6300000000001</v>
      </c>
      <c r="J90" s="344"/>
      <c r="K90" s="125"/>
    </row>
    <row r="91" spans="1:11" ht="33.75" customHeight="1">
      <c r="A91" s="709" t="s">
        <v>1276</v>
      </c>
      <c r="B91" s="254">
        <v>103673</v>
      </c>
      <c r="C91" s="147" t="s">
        <v>445</v>
      </c>
      <c r="D91" s="323" t="s">
        <v>49</v>
      </c>
      <c r="E91" s="1968">
        <v>34.11</v>
      </c>
      <c r="F91" s="1588">
        <f t="shared" si="3"/>
        <v>1.88</v>
      </c>
      <c r="G91" s="975">
        <v>1.88</v>
      </c>
      <c r="H91" s="1500">
        <f t="shared" si="4"/>
        <v>41.69</v>
      </c>
      <c r="I91" s="1511">
        <f t="shared" si="5"/>
        <v>78.37</v>
      </c>
      <c r="J91" s="344"/>
      <c r="K91" s="125"/>
    </row>
    <row r="92" spans="1:11" ht="50.25" customHeight="1">
      <c r="A92" s="709" t="s">
        <v>1277</v>
      </c>
      <c r="B92" s="254">
        <v>92775</v>
      </c>
      <c r="C92" s="147" t="s">
        <v>451</v>
      </c>
      <c r="D92" s="254" t="s">
        <v>104</v>
      </c>
      <c r="E92" s="1968">
        <v>18.91</v>
      </c>
      <c r="F92" s="1588">
        <f t="shared" si="3"/>
        <v>34.1</v>
      </c>
      <c r="G92" s="975">
        <v>34.1</v>
      </c>
      <c r="H92" s="1500">
        <f t="shared" si="4"/>
        <v>23.11</v>
      </c>
      <c r="I92" s="1511">
        <f t="shared" si="5"/>
        <v>788.05</v>
      </c>
      <c r="J92" s="344"/>
      <c r="K92" s="125"/>
    </row>
    <row r="93" spans="1:11" ht="41.25" customHeight="1">
      <c r="A93" s="709" t="s">
        <v>1275</v>
      </c>
      <c r="B93" s="254">
        <v>92777</v>
      </c>
      <c r="C93" s="147" t="s">
        <v>453</v>
      </c>
      <c r="D93" s="254" t="s">
        <v>104</v>
      </c>
      <c r="E93" s="1968">
        <v>16.739999999999998</v>
      </c>
      <c r="F93" s="1588">
        <f t="shared" si="3"/>
        <v>73.7</v>
      </c>
      <c r="G93" s="975">
        <v>73.7</v>
      </c>
      <c r="H93" s="1500">
        <f t="shared" si="4"/>
        <v>20.46</v>
      </c>
      <c r="I93" s="1511">
        <f t="shared" si="5"/>
        <v>1507.9</v>
      </c>
      <c r="J93" s="344"/>
      <c r="K93" s="125"/>
    </row>
    <row r="94" spans="1:11" ht="18.75" customHeight="1" thickBot="1">
      <c r="A94" s="710"/>
      <c r="B94" s="711"/>
      <c r="C94" s="712"/>
      <c r="D94" s="713"/>
      <c r="E94" s="986"/>
      <c r="F94" s="987"/>
      <c r="G94" s="988"/>
      <c r="H94" s="980" t="s">
        <v>16</v>
      </c>
      <c r="I94" s="176">
        <f>TRUNC(SUM(I42:I93),2)</f>
        <v>229200.31</v>
      </c>
      <c r="J94" s="344"/>
      <c r="K94" s="125"/>
    </row>
    <row r="95" spans="1:11" ht="14.25" customHeight="1" thickBot="1">
      <c r="A95" s="593">
        <v>5</v>
      </c>
      <c r="B95" s="594"/>
      <c r="C95" s="595" t="s">
        <v>1278</v>
      </c>
      <c r="D95" s="596"/>
      <c r="E95" s="1586"/>
      <c r="F95" s="981"/>
      <c r="G95" s="982"/>
      <c r="H95" s="982"/>
      <c r="I95" s="599"/>
      <c r="J95" s="476" t="s">
        <v>1409</v>
      </c>
      <c r="K95" s="125"/>
    </row>
    <row r="96" spans="1:11" ht="61.5" customHeight="1">
      <c r="A96" s="1998" t="s">
        <v>24</v>
      </c>
      <c r="B96" s="1999">
        <v>103332</v>
      </c>
      <c r="C96" s="2000" t="s">
        <v>2415</v>
      </c>
      <c r="D96" s="1999" t="s">
        <v>48</v>
      </c>
      <c r="E96" s="2001">
        <v>106.91</v>
      </c>
      <c r="F96" s="2002">
        <v>554.49</v>
      </c>
      <c r="G96" s="2003">
        <v>204.82</v>
      </c>
      <c r="H96" s="2003">
        <f t="shared" ref="H96:H103" si="6">IF(OR(E96&lt;=0)," ",TRUNC((E96*(1+$I$10)),2))</f>
        <v>130.66999999999999</v>
      </c>
      <c r="I96" s="2004">
        <f t="shared" ref="I96:I103" si="7">IF(OR(E96&lt;=0)," ",TRUNC((H96*F96),2))</f>
        <v>72455.199999999997</v>
      </c>
      <c r="J96" s="752"/>
      <c r="K96" s="125"/>
    </row>
    <row r="97" spans="1:11" ht="48" customHeight="1">
      <c r="A97" s="1636" t="s">
        <v>1395</v>
      </c>
      <c r="B97" s="254">
        <v>101161</v>
      </c>
      <c r="C97" s="147" t="s">
        <v>1545</v>
      </c>
      <c r="D97" s="254" t="s">
        <v>48</v>
      </c>
      <c r="E97" s="1576">
        <v>194.97</v>
      </c>
      <c r="F97" s="351">
        <f t="shared" ref="F97:F103" si="8">IF(OR(E97&lt;=0)," ",TRUNC(G97,2))</f>
        <v>10.53</v>
      </c>
      <c r="G97" s="350">
        <v>10.53</v>
      </c>
      <c r="H97" s="352">
        <f t="shared" si="6"/>
        <v>238.31</v>
      </c>
      <c r="I97" s="169">
        <f t="shared" si="7"/>
        <v>2509.4</v>
      </c>
      <c r="J97" s="752"/>
      <c r="K97" s="469"/>
    </row>
    <row r="98" spans="1:11" ht="32.25" customHeight="1">
      <c r="A98" s="1636" t="s">
        <v>1396</v>
      </c>
      <c r="B98" s="254">
        <v>93192</v>
      </c>
      <c r="C98" s="147" t="s">
        <v>439</v>
      </c>
      <c r="D98" s="254" t="s">
        <v>56</v>
      </c>
      <c r="E98" s="1576">
        <v>50.82</v>
      </c>
      <c r="F98" s="351">
        <f t="shared" si="8"/>
        <v>30</v>
      </c>
      <c r="G98" s="350">
        <v>30</v>
      </c>
      <c r="H98" s="352">
        <f t="shared" si="6"/>
        <v>62.11</v>
      </c>
      <c r="I98" s="169">
        <f t="shared" si="7"/>
        <v>1863.3</v>
      </c>
      <c r="J98" s="382"/>
      <c r="K98" s="750" t="s">
        <v>1529</v>
      </c>
    </row>
    <row r="99" spans="1:11" ht="34.5" customHeight="1">
      <c r="A99" s="1636" t="s">
        <v>1397</v>
      </c>
      <c r="B99" s="254">
        <v>93193</v>
      </c>
      <c r="C99" s="1764" t="s">
        <v>440</v>
      </c>
      <c r="D99" s="254" t="s">
        <v>56</v>
      </c>
      <c r="E99" s="1576">
        <v>48.69</v>
      </c>
      <c r="F99" s="351">
        <f t="shared" si="8"/>
        <v>3.36</v>
      </c>
      <c r="G99" s="350">
        <v>3.36</v>
      </c>
      <c r="H99" s="352">
        <f t="shared" si="6"/>
        <v>59.51</v>
      </c>
      <c r="I99" s="169">
        <f t="shared" si="7"/>
        <v>199.95</v>
      </c>
      <c r="J99" s="345"/>
      <c r="K99" s="751"/>
    </row>
    <row r="100" spans="1:11" ht="35.25" customHeight="1">
      <c r="A100" s="1636" t="s">
        <v>1398</v>
      </c>
      <c r="B100" s="254">
        <v>93190</v>
      </c>
      <c r="C100" s="147" t="s">
        <v>438</v>
      </c>
      <c r="D100" s="254" t="s">
        <v>56</v>
      </c>
      <c r="E100" s="1576">
        <v>45.16</v>
      </c>
      <c r="F100" s="351">
        <f t="shared" si="8"/>
        <v>34.299999999999997</v>
      </c>
      <c r="G100" s="350">
        <v>34.299999999999997</v>
      </c>
      <c r="H100" s="352">
        <f t="shared" si="6"/>
        <v>55.19</v>
      </c>
      <c r="I100" s="169">
        <f t="shared" si="7"/>
        <v>1893.01</v>
      </c>
      <c r="J100" s="345"/>
      <c r="K100" s="648" t="s">
        <v>1530</v>
      </c>
    </row>
    <row r="101" spans="1:11" ht="35.25" customHeight="1">
      <c r="A101" s="1636" t="s">
        <v>1399</v>
      </c>
      <c r="B101" s="254">
        <v>93187</v>
      </c>
      <c r="C101" s="147" t="s">
        <v>1544</v>
      </c>
      <c r="D101" s="254" t="s">
        <v>56</v>
      </c>
      <c r="E101" s="1576">
        <v>94.69</v>
      </c>
      <c r="F101" s="351">
        <f t="shared" si="8"/>
        <v>23</v>
      </c>
      <c r="G101" s="350">
        <v>23</v>
      </c>
      <c r="H101" s="352">
        <f t="shared" si="6"/>
        <v>115.73</v>
      </c>
      <c r="I101" s="169">
        <f t="shared" si="7"/>
        <v>2661.79</v>
      </c>
      <c r="J101" s="345"/>
      <c r="K101" s="125"/>
    </row>
    <row r="102" spans="1:11" ht="36" customHeight="1" thickBot="1">
      <c r="A102" s="170" t="s">
        <v>1531</v>
      </c>
      <c r="B102" s="173">
        <v>93198</v>
      </c>
      <c r="C102" s="1646" t="s">
        <v>441</v>
      </c>
      <c r="D102" s="173" t="s">
        <v>56</v>
      </c>
      <c r="E102" s="1573">
        <v>39.119999999999997</v>
      </c>
      <c r="F102" s="988">
        <f t="shared" si="8"/>
        <v>34.299999999999997</v>
      </c>
      <c r="G102" s="1647">
        <v>34.299999999999997</v>
      </c>
      <c r="H102" s="979">
        <f t="shared" si="6"/>
        <v>47.81</v>
      </c>
      <c r="I102" s="1648">
        <f t="shared" si="7"/>
        <v>1639.88</v>
      </c>
      <c r="J102" s="416"/>
      <c r="K102" s="648" t="s">
        <v>1530</v>
      </c>
    </row>
    <row r="103" spans="1:11" ht="31.5" customHeight="1">
      <c r="A103" s="1606" t="s">
        <v>1532</v>
      </c>
      <c r="B103" s="1607">
        <v>93199</v>
      </c>
      <c r="C103" s="1608" t="s">
        <v>442</v>
      </c>
      <c r="D103" s="1607" t="s">
        <v>56</v>
      </c>
      <c r="E103" s="1579">
        <v>38.619999999999997</v>
      </c>
      <c r="F103" s="1609">
        <f t="shared" si="8"/>
        <v>23</v>
      </c>
      <c r="G103" s="1610">
        <v>23</v>
      </c>
      <c r="H103" s="1611">
        <f t="shared" si="6"/>
        <v>47.2</v>
      </c>
      <c r="I103" s="1612">
        <f t="shared" si="7"/>
        <v>1085.5999999999999</v>
      </c>
      <c r="J103" s="209"/>
      <c r="K103" s="125"/>
    </row>
    <row r="104" spans="1:11" ht="15.75" thickBot="1">
      <c r="A104" s="1638"/>
      <c r="B104" s="1639"/>
      <c r="C104" s="1640"/>
      <c r="D104" s="1639"/>
      <c r="E104" s="1641"/>
      <c r="F104" s="1642"/>
      <c r="G104" s="1643"/>
      <c r="H104" s="1644" t="s">
        <v>16</v>
      </c>
      <c r="I104" s="1645">
        <f>TRUNC(SUM(I96:I103),2)</f>
        <v>84308.13</v>
      </c>
      <c r="J104" s="209"/>
      <c r="K104" s="125"/>
    </row>
    <row r="105" spans="1:11">
      <c r="A105" s="593">
        <v>6</v>
      </c>
      <c r="B105" s="594"/>
      <c r="C105" s="595" t="s">
        <v>216</v>
      </c>
      <c r="D105" s="596"/>
      <c r="E105" s="1586"/>
      <c r="F105" s="981"/>
      <c r="G105" s="982"/>
      <c r="H105" s="982"/>
      <c r="I105" s="599"/>
      <c r="J105" s="822" t="s">
        <v>489</v>
      </c>
      <c r="K105" s="125"/>
    </row>
    <row r="106" spans="1:11" ht="31.5" customHeight="1">
      <c r="A106" s="213" t="s">
        <v>69</v>
      </c>
      <c r="B106" s="254" t="s">
        <v>112</v>
      </c>
      <c r="C106" s="258" t="s">
        <v>1534</v>
      </c>
      <c r="D106" s="254" t="s">
        <v>48</v>
      </c>
      <c r="E106" s="1576">
        <v>11.73</v>
      </c>
      <c r="F106" s="351">
        <f t="shared" ref="F106:F112" si="9">IF(OR(E106&lt;=0)," ",TRUNC(G106,2))</f>
        <v>246.05</v>
      </c>
      <c r="G106" s="350">
        <v>246.05</v>
      </c>
      <c r="H106" s="352">
        <f t="shared" ref="H106:H112" si="10">IF(OR(E106&lt;=0)," ",TRUNC((E106*(1+$I$10)),2))</f>
        <v>14.33</v>
      </c>
      <c r="I106" s="169">
        <f t="shared" ref="I106:I112" si="11">IF(OR(E106&lt;=0)," ",TRUNC((H106*F106),2))</f>
        <v>3525.89</v>
      </c>
      <c r="J106" s="813">
        <f>'COMP CIVIL'!F242</f>
        <v>13.36</v>
      </c>
      <c r="K106" s="125"/>
    </row>
    <row r="107" spans="1:11" ht="28.5">
      <c r="A107" s="213" t="s">
        <v>1279</v>
      </c>
      <c r="B107" s="254">
        <v>95241</v>
      </c>
      <c r="C107" s="147" t="s">
        <v>619</v>
      </c>
      <c r="D107" s="254" t="s">
        <v>48</v>
      </c>
      <c r="E107" s="1576">
        <v>28.13</v>
      </c>
      <c r="F107" s="351">
        <f t="shared" si="9"/>
        <v>246.05</v>
      </c>
      <c r="G107" s="350">
        <v>246.05</v>
      </c>
      <c r="H107" s="352">
        <f t="shared" si="10"/>
        <v>34.380000000000003</v>
      </c>
      <c r="I107" s="169">
        <f t="shared" si="11"/>
        <v>8459.19</v>
      </c>
      <c r="J107" s="209"/>
      <c r="K107" s="125"/>
    </row>
    <row r="108" spans="1:11" ht="74.25" customHeight="1">
      <c r="A108" s="213" t="s">
        <v>1400</v>
      </c>
      <c r="B108" s="254">
        <v>94438</v>
      </c>
      <c r="C108" s="745" t="s">
        <v>1533</v>
      </c>
      <c r="D108" s="254" t="s">
        <v>48</v>
      </c>
      <c r="E108" s="1576">
        <v>41.02</v>
      </c>
      <c r="F108" s="351">
        <f t="shared" si="9"/>
        <v>246.05</v>
      </c>
      <c r="G108" s="350">
        <v>246.05</v>
      </c>
      <c r="H108" s="352">
        <f t="shared" si="10"/>
        <v>50.13</v>
      </c>
      <c r="I108" s="169">
        <f t="shared" si="11"/>
        <v>12334.48</v>
      </c>
      <c r="J108" s="209"/>
      <c r="K108" s="125"/>
    </row>
    <row r="109" spans="1:11" ht="43.5" customHeight="1">
      <c r="A109" s="213" t="s">
        <v>1401</v>
      </c>
      <c r="B109" s="254">
        <v>87261</v>
      </c>
      <c r="C109" s="147" t="s">
        <v>1536</v>
      </c>
      <c r="D109" s="254" t="s">
        <v>48</v>
      </c>
      <c r="E109" s="1576">
        <v>166.19</v>
      </c>
      <c r="F109" s="351">
        <f t="shared" si="9"/>
        <v>8.74</v>
      </c>
      <c r="G109" s="350">
        <v>8.74</v>
      </c>
      <c r="H109" s="352">
        <f t="shared" si="10"/>
        <v>203.13</v>
      </c>
      <c r="I109" s="169">
        <f t="shared" si="11"/>
        <v>1775.35</v>
      </c>
      <c r="J109" s="209"/>
      <c r="K109" s="125"/>
    </row>
    <row r="110" spans="1:11" ht="45.75" customHeight="1">
      <c r="A110" s="213" t="s">
        <v>1402</v>
      </c>
      <c r="B110" s="254">
        <v>87262</v>
      </c>
      <c r="C110" s="147" t="s">
        <v>1537</v>
      </c>
      <c r="D110" s="254" t="s">
        <v>48</v>
      </c>
      <c r="E110" s="1576">
        <v>152.43</v>
      </c>
      <c r="F110" s="351">
        <f t="shared" si="9"/>
        <v>23.06</v>
      </c>
      <c r="G110" s="350">
        <v>23.06</v>
      </c>
      <c r="H110" s="352">
        <f t="shared" si="10"/>
        <v>186.31</v>
      </c>
      <c r="I110" s="169">
        <f t="shared" si="11"/>
        <v>4296.3</v>
      </c>
      <c r="J110" s="209"/>
      <c r="K110" s="125"/>
    </row>
    <row r="111" spans="1:11" ht="45.75" customHeight="1">
      <c r="A111" s="213" t="s">
        <v>1403</v>
      </c>
      <c r="B111" s="254">
        <v>87263</v>
      </c>
      <c r="C111" s="147" t="s">
        <v>1538</v>
      </c>
      <c r="D111" s="254" t="s">
        <v>48</v>
      </c>
      <c r="E111" s="1576">
        <v>144.38999999999999</v>
      </c>
      <c r="F111" s="351">
        <f t="shared" si="9"/>
        <v>214.25</v>
      </c>
      <c r="G111" s="350">
        <v>214.25</v>
      </c>
      <c r="H111" s="352">
        <f t="shared" si="10"/>
        <v>176.48</v>
      </c>
      <c r="I111" s="169">
        <f t="shared" si="11"/>
        <v>37810.839999999997</v>
      </c>
      <c r="J111" s="209"/>
      <c r="K111" s="125"/>
    </row>
    <row r="112" spans="1:11" ht="31.5" customHeight="1">
      <c r="A112" s="213" t="s">
        <v>1404</v>
      </c>
      <c r="B112" s="254" t="s">
        <v>113</v>
      </c>
      <c r="C112" s="147" t="s">
        <v>1540</v>
      </c>
      <c r="D112" s="254" t="s">
        <v>56</v>
      </c>
      <c r="E112" s="1576">
        <v>54.39</v>
      </c>
      <c r="F112" s="992">
        <f t="shared" si="9"/>
        <v>131.9</v>
      </c>
      <c r="G112" s="350">
        <v>131.9</v>
      </c>
      <c r="H112" s="352">
        <f t="shared" si="10"/>
        <v>66.48</v>
      </c>
      <c r="I112" s="169">
        <f t="shared" si="11"/>
        <v>8768.7099999999991</v>
      </c>
      <c r="J112" s="563">
        <f>'COMP CIVIL'!F255</f>
        <v>70.39</v>
      </c>
      <c r="K112" s="125"/>
    </row>
    <row r="113" spans="1:11" ht="15.75" thickBot="1">
      <c r="A113" s="342"/>
      <c r="B113" s="177"/>
      <c r="C113" s="343"/>
      <c r="D113" s="177"/>
      <c r="E113" s="1577"/>
      <c r="F113" s="989"/>
      <c r="G113" s="990"/>
      <c r="H113" s="991" t="s">
        <v>16</v>
      </c>
      <c r="I113" s="216">
        <f>TRUNC(SUM(I106:I112),2)</f>
        <v>76970.759999999995</v>
      </c>
      <c r="J113" s="209"/>
      <c r="K113" s="125"/>
    </row>
    <row r="114" spans="1:11">
      <c r="A114" s="593">
        <v>7</v>
      </c>
      <c r="B114" s="594"/>
      <c r="C114" s="595" t="s">
        <v>217</v>
      </c>
      <c r="D114" s="596"/>
      <c r="E114" s="1586"/>
      <c r="F114" s="981" t="str">
        <f t="shared" ref="F114:F124" si="12">IF(OR(E114&lt;=0)," ",TRUNC(G114,2))</f>
        <v xml:space="preserve"> </v>
      </c>
      <c r="G114" s="982"/>
      <c r="H114" s="982" t="str">
        <f t="shared" ref="H114:H124" si="13">IF(OR(E114&lt;=0)," ",TRUNC((E114*(1+$I$10)),2))</f>
        <v xml:space="preserve"> </v>
      </c>
      <c r="I114" s="599" t="str">
        <f t="shared" ref="I114:I124" si="14">IF(OR(E114&lt;=0)," ",TRUNC((H114*F114),2))</f>
        <v xml:space="preserve"> </v>
      </c>
      <c r="J114" s="822" t="s">
        <v>489</v>
      </c>
      <c r="K114" s="125"/>
    </row>
    <row r="115" spans="1:11" ht="44.25" customHeight="1">
      <c r="A115" s="213" t="s">
        <v>45</v>
      </c>
      <c r="B115" s="1649">
        <v>87904</v>
      </c>
      <c r="C115" s="147" t="s">
        <v>1578</v>
      </c>
      <c r="D115" s="254" t="s">
        <v>48</v>
      </c>
      <c r="E115" s="1576">
        <v>8.34</v>
      </c>
      <c r="F115" s="351">
        <f t="shared" si="12"/>
        <v>514.19000000000005</v>
      </c>
      <c r="G115" s="350">
        <v>514.19000000000005</v>
      </c>
      <c r="H115" s="352">
        <f t="shared" si="13"/>
        <v>10.19</v>
      </c>
      <c r="I115" s="169">
        <f t="shared" si="14"/>
        <v>5239.59</v>
      </c>
      <c r="J115" s="209"/>
      <c r="K115" s="648" t="s">
        <v>1579</v>
      </c>
    </row>
    <row r="116" spans="1:11" ht="44.25" customHeight="1">
      <c r="A116" s="213" t="s">
        <v>74</v>
      </c>
      <c r="B116" s="1649">
        <v>87879</v>
      </c>
      <c r="C116" s="147" t="s">
        <v>673</v>
      </c>
      <c r="D116" s="254" t="s">
        <v>48</v>
      </c>
      <c r="E116" s="1576">
        <v>3.8</v>
      </c>
      <c r="F116" s="351">
        <f>IF(OR(E116&lt;=0)," ",TRUNC(G116,2))</f>
        <v>925.09</v>
      </c>
      <c r="G116" s="350">
        <v>925.09</v>
      </c>
      <c r="H116" s="352">
        <f t="shared" si="13"/>
        <v>4.6399999999999997</v>
      </c>
      <c r="I116" s="169">
        <f t="shared" si="14"/>
        <v>4292.41</v>
      </c>
      <c r="J116" s="558"/>
      <c r="K116" s="769" t="s">
        <v>1589</v>
      </c>
    </row>
    <row r="117" spans="1:11" ht="54.75" customHeight="1">
      <c r="A117" s="213" t="s">
        <v>75</v>
      </c>
      <c r="B117" s="254">
        <v>87528</v>
      </c>
      <c r="C117" s="147" t="s">
        <v>1581</v>
      </c>
      <c r="D117" s="254" t="s">
        <v>48</v>
      </c>
      <c r="E117" s="1576">
        <v>40.119999999999997</v>
      </c>
      <c r="F117" s="351">
        <f>IF(OR(E117&lt;=0)," ",TRUNC(G117,2))</f>
        <v>72.64</v>
      </c>
      <c r="G117" s="350">
        <v>72.64</v>
      </c>
      <c r="H117" s="352">
        <f>IF(OR(E117&lt;=0)," ",TRUNC((E117*(1+$I$10)),2))</f>
        <v>49.03</v>
      </c>
      <c r="I117" s="169">
        <f>IF(OR(E117&lt;=0)," ",TRUNC((H117*F117),2))</f>
        <v>3561.53</v>
      </c>
      <c r="J117" s="209"/>
      <c r="K117" s="769" t="s">
        <v>1590</v>
      </c>
    </row>
    <row r="118" spans="1:11" ht="61.5" customHeight="1">
      <c r="A118" s="213" t="s">
        <v>1758</v>
      </c>
      <c r="B118" s="254">
        <v>87532</v>
      </c>
      <c r="C118" s="325" t="s">
        <v>1570</v>
      </c>
      <c r="D118" s="254" t="s">
        <v>48</v>
      </c>
      <c r="E118" s="1576">
        <v>35.81</v>
      </c>
      <c r="F118" s="351">
        <f>IF(OR(E118&lt;=0)," ",TRUNC(G118,2))</f>
        <v>42.84</v>
      </c>
      <c r="G118" s="350">
        <v>42.84</v>
      </c>
      <c r="H118" s="352">
        <f>IF(OR(E118&lt;=0)," ",TRUNC((E118*(1+$I$10)),2))</f>
        <v>43.77</v>
      </c>
      <c r="I118" s="169">
        <f>IF(OR(E118&lt;=0)," ",TRUNC((H118*F118),2))</f>
        <v>1875.1</v>
      </c>
      <c r="J118" s="209"/>
      <c r="K118" s="769" t="s">
        <v>1591</v>
      </c>
    </row>
    <row r="119" spans="1:11" ht="60.75" customHeight="1">
      <c r="A119" s="213" t="s">
        <v>1759</v>
      </c>
      <c r="B119" s="254">
        <v>87536</v>
      </c>
      <c r="C119" s="147" t="s">
        <v>1571</v>
      </c>
      <c r="D119" s="254" t="s">
        <v>48</v>
      </c>
      <c r="E119" s="1576">
        <v>32.64</v>
      </c>
      <c r="F119" s="351">
        <f>IF(OR(E119&lt;=0)," ",TRUNC(G119,2))</f>
        <v>88.41</v>
      </c>
      <c r="G119" s="350">
        <v>88.41</v>
      </c>
      <c r="H119" s="352">
        <f>IF(OR(E119&lt;=0)," ",TRUNC((E119*(1+$I$10)),2))</f>
        <v>39.89</v>
      </c>
      <c r="I119" s="169">
        <f>IF(OR(E119&lt;=0)," ",TRUNC((H119*F119),2))</f>
        <v>3526.67</v>
      </c>
      <c r="J119" s="209"/>
      <c r="K119" s="648" t="s">
        <v>1592</v>
      </c>
    </row>
    <row r="120" spans="1:11" ht="29.25" customHeight="1" thickBot="1">
      <c r="A120" s="170" t="s">
        <v>120</v>
      </c>
      <c r="B120" s="173" t="s">
        <v>1582</v>
      </c>
      <c r="C120" s="1650" t="s">
        <v>1595</v>
      </c>
      <c r="D120" s="173" t="s">
        <v>48</v>
      </c>
      <c r="E120" s="1573">
        <v>162.35</v>
      </c>
      <c r="F120" s="988">
        <f t="shared" si="12"/>
        <v>108.24</v>
      </c>
      <c r="G120" s="1647">
        <v>108.24</v>
      </c>
      <c r="H120" s="979">
        <f t="shared" si="13"/>
        <v>198.44</v>
      </c>
      <c r="I120" s="1648">
        <f t="shared" si="14"/>
        <v>21479.14</v>
      </c>
      <c r="J120" s="563">
        <f>'COMP CIVIL'!F355</f>
        <v>304.26</v>
      </c>
      <c r="K120" s="539" t="s">
        <v>1505</v>
      </c>
    </row>
    <row r="121" spans="1:11" ht="65.25" customHeight="1">
      <c r="A121" s="1606" t="s">
        <v>1760</v>
      </c>
      <c r="B121" s="1607">
        <v>89173</v>
      </c>
      <c r="C121" s="1651" t="s">
        <v>122</v>
      </c>
      <c r="D121" s="1607" t="s">
        <v>48</v>
      </c>
      <c r="E121" s="1579">
        <v>32.82</v>
      </c>
      <c r="F121" s="1609">
        <f t="shared" si="12"/>
        <v>446.89</v>
      </c>
      <c r="G121" s="1610">
        <v>446.89</v>
      </c>
      <c r="H121" s="1611">
        <f t="shared" si="13"/>
        <v>40.11</v>
      </c>
      <c r="I121" s="1612">
        <f t="shared" si="14"/>
        <v>17924.75</v>
      </c>
      <c r="J121" s="559"/>
      <c r="K121" s="768" t="s">
        <v>1588</v>
      </c>
    </row>
    <row r="122" spans="1:11" ht="47.25" customHeight="1">
      <c r="A122" s="213" t="s">
        <v>1761</v>
      </c>
      <c r="B122" s="254">
        <v>90406</v>
      </c>
      <c r="C122" s="147" t="s">
        <v>478</v>
      </c>
      <c r="D122" s="254" t="s">
        <v>48</v>
      </c>
      <c r="E122" s="1576">
        <v>41.92</v>
      </c>
      <c r="F122" s="351">
        <f t="shared" si="12"/>
        <v>477.72</v>
      </c>
      <c r="G122" s="350">
        <v>477.72</v>
      </c>
      <c r="H122" s="352">
        <f t="shared" si="13"/>
        <v>51.23</v>
      </c>
      <c r="I122" s="169">
        <f t="shared" si="14"/>
        <v>24473.59</v>
      </c>
      <c r="J122" s="209"/>
      <c r="K122" s="767" t="s">
        <v>1587</v>
      </c>
    </row>
    <row r="123" spans="1:11" ht="42.75" customHeight="1">
      <c r="A123" s="213" t="s">
        <v>1762</v>
      </c>
      <c r="B123" s="254" t="s">
        <v>1572</v>
      </c>
      <c r="C123" s="147" t="s">
        <v>1573</v>
      </c>
      <c r="D123" s="329" t="s">
        <v>48</v>
      </c>
      <c r="E123" s="1576">
        <v>58.22</v>
      </c>
      <c r="F123" s="351">
        <f t="shared" si="12"/>
        <v>30.66</v>
      </c>
      <c r="G123" s="350">
        <v>30.66</v>
      </c>
      <c r="H123" s="352">
        <f t="shared" si="13"/>
        <v>71.16</v>
      </c>
      <c r="I123" s="169">
        <f t="shared" si="14"/>
        <v>2181.7600000000002</v>
      </c>
      <c r="J123" s="563">
        <f>'COMP CIVIL'!F329</f>
        <v>73.45</v>
      </c>
      <c r="K123" s="765" t="s">
        <v>1580</v>
      </c>
    </row>
    <row r="124" spans="1:11" ht="42.75" customHeight="1">
      <c r="A124" s="213" t="s">
        <v>1763</v>
      </c>
      <c r="B124" s="254" t="s">
        <v>1576</v>
      </c>
      <c r="C124" s="147" t="s">
        <v>1577</v>
      </c>
      <c r="D124" s="329" t="s">
        <v>48</v>
      </c>
      <c r="E124" s="1576">
        <v>61.03</v>
      </c>
      <c r="F124" s="351">
        <f t="shared" si="12"/>
        <v>64.989999999999995</v>
      </c>
      <c r="G124" s="350">
        <v>64.989999999999995</v>
      </c>
      <c r="H124" s="352">
        <f t="shared" si="13"/>
        <v>74.59</v>
      </c>
      <c r="I124" s="169">
        <f t="shared" si="14"/>
        <v>4847.6000000000004</v>
      </c>
      <c r="J124" s="563">
        <f>'COMP CIVIL'!F342</f>
        <v>76.62</v>
      </c>
      <c r="K124" s="765" t="s">
        <v>1580</v>
      </c>
    </row>
    <row r="125" spans="1:11" ht="15.75" thickBot="1">
      <c r="A125" s="1653"/>
      <c r="B125" s="1639"/>
      <c r="C125" s="1654"/>
      <c r="D125" s="1655"/>
      <c r="E125" s="1641"/>
      <c r="F125" s="1642"/>
      <c r="G125" s="1643"/>
      <c r="H125" s="1644" t="s">
        <v>16</v>
      </c>
      <c r="I125" s="1645">
        <f>TRUNC(SUM(I115:I124),2)</f>
        <v>89402.14</v>
      </c>
      <c r="J125" s="209"/>
      <c r="K125" s="125"/>
    </row>
    <row r="126" spans="1:11">
      <c r="A126" s="735">
        <v>8</v>
      </c>
      <c r="B126" s="738"/>
      <c r="C126" s="595" t="s">
        <v>73</v>
      </c>
      <c r="D126" s="596"/>
      <c r="E126" s="1586"/>
      <c r="F126" s="981" t="str">
        <f>IF(OR(E126&lt;=0)," ",TRUNC(G126,2))</f>
        <v xml:space="preserve"> </v>
      </c>
      <c r="G126" s="982"/>
      <c r="H126" s="982" t="str">
        <f>IF(OR(E126&lt;=0)," ",TRUNC((E126*(1+$I$10)),2))</f>
        <v xml:space="preserve"> </v>
      </c>
      <c r="I126" s="599" t="str">
        <f>IF(OR(E126&lt;=0)," ",TRUNC((H126*F126),2))</f>
        <v xml:space="preserve"> </v>
      </c>
      <c r="J126" s="209"/>
      <c r="K126" s="125"/>
    </row>
    <row r="127" spans="1:11" ht="15.75" customHeight="1">
      <c r="A127" s="736" t="s">
        <v>42</v>
      </c>
      <c r="B127" s="1614"/>
      <c r="C127" s="1656" t="s">
        <v>1283</v>
      </c>
      <c r="D127" s="1614"/>
      <c r="E127" s="1628"/>
      <c r="F127" s="1616" t="str">
        <f>IF(OR(E127&lt;=0)," ",TRUNC(G127,2))</f>
        <v xml:space="preserve"> </v>
      </c>
      <c r="G127" s="1617"/>
      <c r="H127" s="1617" t="str">
        <f>IF(OR(E127&lt;=0)," ",TRUNC((E127*(1+$I$10)),2))</f>
        <v xml:space="preserve"> </v>
      </c>
      <c r="I127" s="1618" t="str">
        <f>IF(OR(E127&lt;=0)," ",TRUNC((H127*F127),2))</f>
        <v xml:space="preserve"> </v>
      </c>
      <c r="J127" s="209"/>
      <c r="K127" s="532"/>
    </row>
    <row r="128" spans="1:11" ht="16.5" customHeight="1">
      <c r="A128" s="383" t="s">
        <v>1285</v>
      </c>
      <c r="B128" s="1657" t="s">
        <v>599</v>
      </c>
      <c r="C128" s="1658" t="s">
        <v>1498</v>
      </c>
      <c r="D128" s="1652" t="s">
        <v>57</v>
      </c>
      <c r="E128" s="1592">
        <v>1543.89</v>
      </c>
      <c r="F128" s="1593">
        <f t="shared" ref="F128:F133" si="15">IF(OR(E128&lt;=0)," ",TRUNC(G128,2))</f>
        <v>1</v>
      </c>
      <c r="G128" s="1594">
        <v>1</v>
      </c>
      <c r="H128" s="1595">
        <f t="shared" ref="H128:H141" si="16">IF(OR(E128&lt;=0)," ",TRUNC((E128*(1+$I$10)),2))</f>
        <v>1887.09</v>
      </c>
      <c r="I128" s="1596">
        <f t="shared" ref="I128:I141" si="17">IF(OR(E128&lt;=0)," ",TRUNC((H128*F128),2))</f>
        <v>1887.09</v>
      </c>
      <c r="J128" s="563">
        <f>'COMP CIVIL'!F142</f>
        <v>2096.5500000000002</v>
      </c>
      <c r="K128" s="533" t="s">
        <v>384</v>
      </c>
    </row>
    <row r="129" spans="1:11" ht="75.75" customHeight="1">
      <c r="A129" s="383" t="s">
        <v>1286</v>
      </c>
      <c r="B129" s="1597">
        <v>90845</v>
      </c>
      <c r="C129" s="1613" t="s">
        <v>1499</v>
      </c>
      <c r="D129" s="1652" t="s">
        <v>57</v>
      </c>
      <c r="E129" s="1592">
        <v>1108.4000000000001</v>
      </c>
      <c r="F129" s="1593">
        <f t="shared" si="15"/>
        <v>3</v>
      </c>
      <c r="G129" s="1594">
        <v>3</v>
      </c>
      <c r="H129" s="1595">
        <f t="shared" si="16"/>
        <v>1354.79</v>
      </c>
      <c r="I129" s="1596">
        <f t="shared" si="17"/>
        <v>4064.37</v>
      </c>
      <c r="J129" s="209"/>
      <c r="K129" s="533" t="s">
        <v>1523</v>
      </c>
    </row>
    <row r="130" spans="1:11" ht="31.5" customHeight="1">
      <c r="A130" s="383" t="s">
        <v>1764</v>
      </c>
      <c r="B130" s="1597" t="s">
        <v>597</v>
      </c>
      <c r="C130" s="1613" t="s">
        <v>1519</v>
      </c>
      <c r="D130" s="1652" t="s">
        <v>57</v>
      </c>
      <c r="E130" s="1592">
        <v>1350</v>
      </c>
      <c r="F130" s="1593">
        <f t="shared" si="15"/>
        <v>1</v>
      </c>
      <c r="G130" s="1594">
        <v>1</v>
      </c>
      <c r="H130" s="1595">
        <f t="shared" si="16"/>
        <v>1650.1</v>
      </c>
      <c r="I130" s="1596">
        <f t="shared" si="17"/>
        <v>1650.1</v>
      </c>
      <c r="J130" s="563">
        <f>'COMP CIVIL'!F107</f>
        <v>1860</v>
      </c>
      <c r="K130" s="533" t="s">
        <v>750</v>
      </c>
    </row>
    <row r="131" spans="1:11" ht="14.25" customHeight="1">
      <c r="A131" s="736" t="s">
        <v>142</v>
      </c>
      <c r="B131" s="1614"/>
      <c r="C131" s="1615" t="s">
        <v>1284</v>
      </c>
      <c r="D131" s="1614"/>
      <c r="E131" s="1628"/>
      <c r="F131" s="1616" t="str">
        <f t="shared" si="15"/>
        <v xml:space="preserve"> </v>
      </c>
      <c r="G131" s="1617"/>
      <c r="H131" s="1617" t="str">
        <f t="shared" si="16"/>
        <v xml:space="preserve"> </v>
      </c>
      <c r="I131" s="1618" t="str">
        <f t="shared" si="17"/>
        <v xml:space="preserve"> </v>
      </c>
      <c r="J131" s="209"/>
      <c r="K131" s="553"/>
    </row>
    <row r="132" spans="1:11" ht="34.5" customHeight="1">
      <c r="A132" s="383" t="s">
        <v>1754</v>
      </c>
      <c r="B132" s="1657">
        <v>101965</v>
      </c>
      <c r="C132" s="1613" t="s">
        <v>1805</v>
      </c>
      <c r="D132" s="330" t="s">
        <v>56</v>
      </c>
      <c r="E132" s="1592">
        <v>137.06</v>
      </c>
      <c r="F132" s="1593">
        <f t="shared" si="15"/>
        <v>31.5</v>
      </c>
      <c r="G132" s="1594">
        <v>31.5</v>
      </c>
      <c r="H132" s="1595">
        <f t="shared" si="16"/>
        <v>167.52</v>
      </c>
      <c r="I132" s="1596">
        <f t="shared" si="17"/>
        <v>5276.88</v>
      </c>
      <c r="J132" s="209"/>
      <c r="K132" s="733"/>
    </row>
    <row r="133" spans="1:11" ht="18.75" customHeight="1">
      <c r="A133" s="383" t="s">
        <v>1287</v>
      </c>
      <c r="B133" s="1657">
        <v>98689</v>
      </c>
      <c r="C133" s="1613" t="s">
        <v>443</v>
      </c>
      <c r="D133" s="330" t="s">
        <v>56</v>
      </c>
      <c r="E133" s="1592">
        <v>101.85</v>
      </c>
      <c r="F133" s="1593">
        <f t="shared" si="15"/>
        <v>3.8</v>
      </c>
      <c r="G133" s="1594">
        <v>3.8</v>
      </c>
      <c r="H133" s="1595">
        <f t="shared" si="16"/>
        <v>124.49</v>
      </c>
      <c r="I133" s="1596">
        <f t="shared" si="17"/>
        <v>473.06</v>
      </c>
      <c r="J133" s="209"/>
      <c r="K133" s="733">
        <f>1.3*2.1</f>
        <v>2.7300000000000004</v>
      </c>
    </row>
    <row r="134" spans="1:11" ht="33" customHeight="1">
      <c r="A134" s="383" t="s">
        <v>1288</v>
      </c>
      <c r="B134" s="1657" t="s">
        <v>1513</v>
      </c>
      <c r="C134" s="1620" t="s">
        <v>1514</v>
      </c>
      <c r="D134" s="1652" t="s">
        <v>57</v>
      </c>
      <c r="E134" s="1592">
        <v>3624.3</v>
      </c>
      <c r="F134" s="1593">
        <f t="shared" ref="F134:F141" si="18">IF(OR(E134&lt;=0)," ",TRUNC(G134,2))</f>
        <v>2</v>
      </c>
      <c r="G134" s="1594">
        <v>2</v>
      </c>
      <c r="H134" s="1595">
        <f t="shared" si="16"/>
        <v>4429.9799999999996</v>
      </c>
      <c r="I134" s="1596">
        <f t="shared" si="17"/>
        <v>8859.9599999999991</v>
      </c>
      <c r="J134" s="563">
        <f>'COMP CIVIL'!F90</f>
        <v>3640.93</v>
      </c>
      <c r="K134" s="539" t="s">
        <v>2236</v>
      </c>
    </row>
    <row r="135" spans="1:11" ht="35.25" customHeight="1">
      <c r="A135" s="383" t="s">
        <v>1289</v>
      </c>
      <c r="B135" s="1657">
        <v>91341</v>
      </c>
      <c r="C135" s="706" t="s">
        <v>1494</v>
      </c>
      <c r="D135" s="1652" t="s">
        <v>48</v>
      </c>
      <c r="E135" s="1592">
        <v>640.61</v>
      </c>
      <c r="F135" s="1593">
        <f t="shared" si="18"/>
        <v>10.49</v>
      </c>
      <c r="G135" s="1594">
        <v>10.49</v>
      </c>
      <c r="H135" s="1595">
        <f t="shared" si="16"/>
        <v>783.01</v>
      </c>
      <c r="I135" s="1596">
        <f t="shared" si="17"/>
        <v>8213.77</v>
      </c>
      <c r="J135" s="209"/>
      <c r="K135" s="539" t="s">
        <v>1493</v>
      </c>
    </row>
    <row r="136" spans="1:11" ht="46.5" customHeight="1">
      <c r="A136" s="383" t="s">
        <v>1290</v>
      </c>
      <c r="B136" s="1657">
        <v>94569</v>
      </c>
      <c r="C136" s="1637" t="s">
        <v>146</v>
      </c>
      <c r="D136" s="1652" t="s">
        <v>48</v>
      </c>
      <c r="E136" s="1592">
        <v>735.71</v>
      </c>
      <c r="F136" s="1593">
        <f t="shared" si="18"/>
        <v>24.84</v>
      </c>
      <c r="G136" s="1594">
        <v>24.84</v>
      </c>
      <c r="H136" s="1595">
        <f t="shared" si="16"/>
        <v>899.25</v>
      </c>
      <c r="I136" s="1596">
        <f t="shared" si="17"/>
        <v>22337.37</v>
      </c>
      <c r="J136" s="209"/>
      <c r="K136" s="539" t="s">
        <v>1492</v>
      </c>
    </row>
    <row r="137" spans="1:11" ht="61.5" customHeight="1" thickBot="1">
      <c r="A137" s="1496" t="s">
        <v>1291</v>
      </c>
      <c r="B137" s="1987">
        <v>94570</v>
      </c>
      <c r="C137" s="1637" t="s">
        <v>1804</v>
      </c>
      <c r="D137" s="1988" t="s">
        <v>48</v>
      </c>
      <c r="E137" s="1578">
        <v>385.08</v>
      </c>
      <c r="F137" s="1588">
        <f t="shared" si="18"/>
        <v>4.84</v>
      </c>
      <c r="G137" s="1589">
        <v>4.84</v>
      </c>
      <c r="H137" s="1500">
        <f t="shared" si="16"/>
        <v>470.68</v>
      </c>
      <c r="I137" s="1511">
        <f t="shared" si="17"/>
        <v>2278.09</v>
      </c>
      <c r="J137" s="209"/>
      <c r="K137" s="734" t="s">
        <v>389</v>
      </c>
    </row>
    <row r="138" spans="1:11" ht="12.75" customHeight="1">
      <c r="A138" s="1989" t="s">
        <v>143</v>
      </c>
      <c r="B138" s="1504"/>
      <c r="C138" s="1505" t="s">
        <v>1504</v>
      </c>
      <c r="D138" s="1504"/>
      <c r="E138" s="1506"/>
      <c r="F138" s="1507" t="str">
        <f t="shared" si="18"/>
        <v xml:space="preserve"> </v>
      </c>
      <c r="G138" s="1508"/>
      <c r="H138" s="1508" t="str">
        <f>IF(OR(E138&lt;=0)," ",TRUNC((E138*(1+$I$10)),2))</f>
        <v xml:space="preserve"> </v>
      </c>
      <c r="I138" s="1509" t="str">
        <f>IF(OR(E138&lt;=0)," ",TRUNC((H138*F138),2))</f>
        <v xml:space="preserve"> </v>
      </c>
      <c r="J138" s="209"/>
      <c r="K138" s="125"/>
    </row>
    <row r="139" spans="1:11" ht="28.5">
      <c r="A139" s="739" t="s">
        <v>1755</v>
      </c>
      <c r="B139" s="254" t="s">
        <v>108</v>
      </c>
      <c r="C139" s="258" t="s">
        <v>1501</v>
      </c>
      <c r="D139" s="329" t="s">
        <v>57</v>
      </c>
      <c r="E139" s="1576">
        <v>2700</v>
      </c>
      <c r="F139" s="351">
        <f t="shared" si="18"/>
        <v>1</v>
      </c>
      <c r="G139" s="350">
        <v>1</v>
      </c>
      <c r="H139" s="352">
        <f t="shared" si="16"/>
        <v>3300.21</v>
      </c>
      <c r="I139" s="169">
        <f t="shared" si="17"/>
        <v>3300.21</v>
      </c>
      <c r="J139" s="563">
        <f>'COMP CIVIL'!F177</f>
        <v>2995</v>
      </c>
      <c r="K139" s="539" t="s">
        <v>755</v>
      </c>
    </row>
    <row r="140" spans="1:11" ht="29.25" thickBot="1">
      <c r="A140" s="170" t="s">
        <v>1756</v>
      </c>
      <c r="B140" s="173" t="s">
        <v>109</v>
      </c>
      <c r="C140" s="1659" t="s">
        <v>1503</v>
      </c>
      <c r="D140" s="1660" t="s">
        <v>57</v>
      </c>
      <c r="E140" s="1573">
        <v>7450</v>
      </c>
      <c r="F140" s="988">
        <f t="shared" si="18"/>
        <v>2</v>
      </c>
      <c r="G140" s="1647">
        <v>2</v>
      </c>
      <c r="H140" s="979">
        <f t="shared" si="16"/>
        <v>9106.1299999999992</v>
      </c>
      <c r="I140" s="1648">
        <f t="shared" si="17"/>
        <v>18212.259999999998</v>
      </c>
      <c r="J140" s="563">
        <f>'COMP CIVIL'!F194</f>
        <v>7890</v>
      </c>
      <c r="K140" s="539" t="s">
        <v>757</v>
      </c>
    </row>
    <row r="141" spans="1:11" ht="28.5">
      <c r="A141" s="1606" t="s">
        <v>1757</v>
      </c>
      <c r="B141" s="1607" t="s">
        <v>111</v>
      </c>
      <c r="C141" s="1661" t="s">
        <v>1528</v>
      </c>
      <c r="D141" s="1662" t="s">
        <v>57</v>
      </c>
      <c r="E141" s="1579">
        <v>2400</v>
      </c>
      <c r="F141" s="1609">
        <f t="shared" si="18"/>
        <v>1</v>
      </c>
      <c r="G141" s="1610">
        <v>1</v>
      </c>
      <c r="H141" s="1611">
        <f t="shared" si="16"/>
        <v>2933.52</v>
      </c>
      <c r="I141" s="1612">
        <f t="shared" si="17"/>
        <v>2933.52</v>
      </c>
      <c r="J141" s="563">
        <f>'COMP CIVIL'!F226</f>
        <v>3200</v>
      </c>
      <c r="K141" s="539" t="s">
        <v>381</v>
      </c>
    </row>
    <row r="142" spans="1:11" ht="15.75" thickBot="1">
      <c r="A142" s="385"/>
      <c r="B142" s="173"/>
      <c r="C142" s="173"/>
      <c r="D142" s="173"/>
      <c r="E142" s="1573"/>
      <c r="F142" s="978"/>
      <c r="G142" s="979"/>
      <c r="H142" s="980" t="s">
        <v>16</v>
      </c>
      <c r="I142" s="176">
        <f>TRUNC(SUM(I128:I141),2)</f>
        <v>79486.679999999993</v>
      </c>
      <c r="J142" s="209"/>
      <c r="K142" s="125"/>
    </row>
    <row r="143" spans="1:11">
      <c r="A143" s="593">
        <v>9</v>
      </c>
      <c r="B143" s="594"/>
      <c r="C143" s="595" t="s">
        <v>95</v>
      </c>
      <c r="D143" s="596"/>
      <c r="E143" s="1586"/>
      <c r="F143" s="981"/>
      <c r="G143" s="982"/>
      <c r="H143" s="982"/>
      <c r="I143" s="599"/>
      <c r="J143" s="476"/>
      <c r="K143" s="125"/>
    </row>
    <row r="144" spans="1:11" ht="15.75" customHeight="1">
      <c r="A144" s="699" t="s">
        <v>76</v>
      </c>
      <c r="B144" s="320"/>
      <c r="C144" s="322" t="s">
        <v>1294</v>
      </c>
      <c r="D144" s="320"/>
      <c r="E144" s="984"/>
      <c r="F144" s="985" t="str">
        <f>IF(OR(E144&lt;=0)," ",TRUNC(G144,2))</f>
        <v xml:space="preserve"> </v>
      </c>
      <c r="G144" s="700"/>
      <c r="H144" s="700" t="str">
        <f>IF(OR(E144&lt;=0)," ",TRUNC((E144*(1+$I$10)),2))</f>
        <v xml:space="preserve"> </v>
      </c>
      <c r="I144" s="321" t="str">
        <f>IF(OR(E144&lt;=0)," ",TRUNC((H144*F144),2))</f>
        <v xml:space="preserve"> </v>
      </c>
      <c r="J144" s="560"/>
      <c r="K144" s="536"/>
    </row>
    <row r="145" spans="1:11" ht="30" customHeight="1">
      <c r="A145" s="213" t="s">
        <v>1292</v>
      </c>
      <c r="B145" s="1279">
        <v>96135</v>
      </c>
      <c r="C145" s="1280" t="s">
        <v>603</v>
      </c>
      <c r="D145" s="166" t="s">
        <v>48</v>
      </c>
      <c r="E145" s="1574">
        <v>25.93</v>
      </c>
      <c r="F145" s="351">
        <f t="shared" ref="F145:F155" si="19">IF(OR(E145&lt;=0)," ",TRUNC(G145,2))</f>
        <v>447.85</v>
      </c>
      <c r="G145" s="350">
        <v>447.85</v>
      </c>
      <c r="H145" s="352">
        <f t="shared" ref="H145:H155" si="20">IF(OR(E145&lt;=0)," ",TRUNC((E145*(1+$I$10)),2))</f>
        <v>31.69</v>
      </c>
      <c r="I145" s="169">
        <f t="shared" ref="I145:I155" si="21">IF(OR(E145&lt;=0)," ",TRUNC((H145*F145),2))</f>
        <v>14192.36</v>
      </c>
      <c r="J145" s="1281"/>
      <c r="K145" s="536"/>
    </row>
    <row r="146" spans="1:11" ht="30" customHeight="1">
      <c r="A146" s="213" t="s">
        <v>1293</v>
      </c>
      <c r="B146" s="300">
        <v>88485</v>
      </c>
      <c r="C146" s="147" t="s">
        <v>623</v>
      </c>
      <c r="D146" s="166" t="s">
        <v>48</v>
      </c>
      <c r="E146" s="1578">
        <v>1.91</v>
      </c>
      <c r="F146" s="351">
        <f t="shared" si="19"/>
        <v>447.85</v>
      </c>
      <c r="G146" s="350">
        <v>447.85</v>
      </c>
      <c r="H146" s="352">
        <f t="shared" si="20"/>
        <v>2.33</v>
      </c>
      <c r="I146" s="169">
        <f t="shared" si="21"/>
        <v>1043.49</v>
      </c>
      <c r="J146" s="1281"/>
      <c r="K146" s="536"/>
    </row>
    <row r="147" spans="1:11" ht="30" customHeight="1">
      <c r="A147" s="213" t="s">
        <v>1406</v>
      </c>
      <c r="B147" s="300">
        <v>88489</v>
      </c>
      <c r="C147" s="147" t="s">
        <v>121</v>
      </c>
      <c r="D147" s="166" t="s">
        <v>48</v>
      </c>
      <c r="E147" s="1578">
        <v>13.72</v>
      </c>
      <c r="F147" s="351">
        <f t="shared" si="19"/>
        <v>447.85</v>
      </c>
      <c r="G147" s="350">
        <v>447.85</v>
      </c>
      <c r="H147" s="352">
        <f t="shared" si="20"/>
        <v>16.760000000000002</v>
      </c>
      <c r="I147" s="169">
        <f t="shared" si="21"/>
        <v>7505.96</v>
      </c>
      <c r="J147" s="1281"/>
      <c r="K147" s="536"/>
    </row>
    <row r="148" spans="1:11" ht="30" customHeight="1">
      <c r="A148" s="213" t="s">
        <v>1407</v>
      </c>
      <c r="B148" s="300">
        <v>88484</v>
      </c>
      <c r="C148" s="147" t="s">
        <v>2165</v>
      </c>
      <c r="D148" s="166" t="s">
        <v>48</v>
      </c>
      <c r="E148" s="1578">
        <v>2.2799999999999998</v>
      </c>
      <c r="F148" s="351">
        <f t="shared" si="19"/>
        <v>257.43</v>
      </c>
      <c r="G148" s="350">
        <v>257.43</v>
      </c>
      <c r="H148" s="352">
        <f t="shared" si="20"/>
        <v>2.78</v>
      </c>
      <c r="I148" s="169">
        <f t="shared" si="21"/>
        <v>715.65</v>
      </c>
      <c r="J148" s="1281"/>
      <c r="K148" s="536"/>
    </row>
    <row r="149" spans="1:11" ht="30" customHeight="1">
      <c r="A149" s="213" t="s">
        <v>1408</v>
      </c>
      <c r="B149" s="300">
        <v>88488</v>
      </c>
      <c r="C149" s="147" t="s">
        <v>2166</v>
      </c>
      <c r="D149" s="166" t="s">
        <v>48</v>
      </c>
      <c r="E149" s="1578">
        <v>15.42</v>
      </c>
      <c r="F149" s="351">
        <f t="shared" si="19"/>
        <v>215.84</v>
      </c>
      <c r="G149" s="350">
        <v>215.84</v>
      </c>
      <c r="H149" s="352">
        <f t="shared" si="20"/>
        <v>18.84</v>
      </c>
      <c r="I149" s="169">
        <f t="shared" si="21"/>
        <v>4066.42</v>
      </c>
      <c r="J149" s="1281"/>
      <c r="K149" s="536"/>
    </row>
    <row r="150" spans="1:11" ht="13.5" customHeight="1">
      <c r="A150" s="699" t="s">
        <v>114</v>
      </c>
      <c r="B150" s="320"/>
      <c r="C150" s="322" t="s">
        <v>1295</v>
      </c>
      <c r="D150" s="320"/>
      <c r="E150" s="984"/>
      <c r="F150" s="985" t="str">
        <f>IF(OR(E150&lt;=0)," ",TRUNC(G150,2))</f>
        <v xml:space="preserve"> </v>
      </c>
      <c r="G150" s="700"/>
      <c r="H150" s="700" t="str">
        <f>IF(OR(E150&lt;=0)," ",TRUNC((E150*(1+$I$10)),2))</f>
        <v xml:space="preserve"> </v>
      </c>
      <c r="I150" s="321" t="str">
        <f>IF(OR(E150&lt;=0)," ",TRUNC((H150*F150),2))</f>
        <v xml:space="preserve"> </v>
      </c>
      <c r="J150" s="51"/>
      <c r="K150" s="535"/>
    </row>
    <row r="151" spans="1:11" ht="33.75" customHeight="1">
      <c r="A151" s="213" t="s">
        <v>1296</v>
      </c>
      <c r="B151" s="300">
        <v>88415</v>
      </c>
      <c r="C151" s="147" t="s">
        <v>624</v>
      </c>
      <c r="D151" s="166" t="s">
        <v>48</v>
      </c>
      <c r="E151" s="1574">
        <v>2.2599999999999998</v>
      </c>
      <c r="F151" s="351">
        <f t="shared" si="19"/>
        <v>436.63</v>
      </c>
      <c r="G151" s="350">
        <v>436.63</v>
      </c>
      <c r="H151" s="352">
        <f t="shared" si="20"/>
        <v>2.76</v>
      </c>
      <c r="I151" s="169">
        <f t="shared" si="21"/>
        <v>1205.0899999999999</v>
      </c>
      <c r="J151" s="51"/>
      <c r="K151" s="535"/>
    </row>
    <row r="152" spans="1:11" ht="33.75" customHeight="1">
      <c r="A152" s="213" t="s">
        <v>1297</v>
      </c>
      <c r="B152" s="300">
        <v>88431</v>
      </c>
      <c r="C152" s="147" t="s">
        <v>625</v>
      </c>
      <c r="D152" s="166" t="s">
        <v>48</v>
      </c>
      <c r="E152" s="1574">
        <v>19.850000000000001</v>
      </c>
      <c r="F152" s="351">
        <f t="shared" si="19"/>
        <v>436.63</v>
      </c>
      <c r="G152" s="350">
        <v>436.63</v>
      </c>
      <c r="H152" s="352">
        <f t="shared" si="20"/>
        <v>24.26</v>
      </c>
      <c r="I152" s="169">
        <f t="shared" si="21"/>
        <v>10592.64</v>
      </c>
      <c r="J152" s="51"/>
      <c r="K152" s="769" t="s">
        <v>2168</v>
      </c>
    </row>
    <row r="153" spans="1:11" ht="33.75" customHeight="1">
      <c r="A153" s="213" t="s">
        <v>1405</v>
      </c>
      <c r="B153" s="300">
        <v>95626</v>
      </c>
      <c r="C153" s="147" t="s">
        <v>627</v>
      </c>
      <c r="D153" s="166" t="s">
        <v>48</v>
      </c>
      <c r="E153" s="1574">
        <v>14.52</v>
      </c>
      <c r="F153" s="351">
        <f t="shared" si="19"/>
        <v>436.63</v>
      </c>
      <c r="G153" s="350">
        <v>436.63</v>
      </c>
      <c r="H153" s="352">
        <f t="shared" si="20"/>
        <v>17.739999999999998</v>
      </c>
      <c r="I153" s="169">
        <f t="shared" si="21"/>
        <v>7745.81</v>
      </c>
      <c r="J153" s="51"/>
      <c r="K153" s="769" t="s">
        <v>2169</v>
      </c>
    </row>
    <row r="154" spans="1:11" ht="15.75" customHeight="1">
      <c r="A154" s="213" t="s">
        <v>2170</v>
      </c>
      <c r="B154" s="1279" t="s">
        <v>2172</v>
      </c>
      <c r="C154" s="1280" t="s">
        <v>2176</v>
      </c>
      <c r="D154" s="166" t="s">
        <v>48</v>
      </c>
      <c r="E154" s="1578">
        <v>19.739999999999998</v>
      </c>
      <c r="F154" s="351">
        <f t="shared" si="19"/>
        <v>33.979999999999997</v>
      </c>
      <c r="G154" s="350">
        <v>33.979999999999997</v>
      </c>
      <c r="H154" s="352">
        <f t="shared" si="20"/>
        <v>24.12</v>
      </c>
      <c r="I154" s="169">
        <f t="shared" si="21"/>
        <v>819.59</v>
      </c>
      <c r="J154" s="51">
        <f>'COMP CIVIL'!F491</f>
        <v>27.32</v>
      </c>
      <c r="K154" s="535" t="s">
        <v>2396</v>
      </c>
    </row>
    <row r="155" spans="1:11" ht="34.5" customHeight="1">
      <c r="A155" s="213" t="s">
        <v>2171</v>
      </c>
      <c r="B155" s="300">
        <v>88488</v>
      </c>
      <c r="C155" s="147" t="s">
        <v>2166</v>
      </c>
      <c r="D155" s="166" t="s">
        <v>48</v>
      </c>
      <c r="E155" s="1578">
        <v>15.42</v>
      </c>
      <c r="F155" s="351">
        <f t="shared" si="19"/>
        <v>41.59</v>
      </c>
      <c r="G155" s="350">
        <v>41.59</v>
      </c>
      <c r="H155" s="352">
        <f t="shared" si="20"/>
        <v>18.84</v>
      </c>
      <c r="I155" s="169">
        <f t="shared" si="21"/>
        <v>783.55</v>
      </c>
      <c r="J155" s="51"/>
      <c r="K155" s="561" t="s">
        <v>2397</v>
      </c>
    </row>
    <row r="156" spans="1:11" ht="15.75" thickBot="1">
      <c r="A156" s="170"/>
      <c r="B156" s="171"/>
      <c r="C156" s="172"/>
      <c r="D156" s="173"/>
      <c r="E156" s="1573"/>
      <c r="F156" s="978"/>
      <c r="G156" s="979"/>
      <c r="H156" s="980" t="s">
        <v>16</v>
      </c>
      <c r="I156" s="176">
        <f>TRUNC(SUM(I145:I155),2)</f>
        <v>48670.559999999998</v>
      </c>
      <c r="K156" s="125"/>
    </row>
    <row r="157" spans="1:11">
      <c r="A157" s="593">
        <v>10</v>
      </c>
      <c r="B157" s="594"/>
      <c r="C157" s="595" t="s">
        <v>459</v>
      </c>
      <c r="D157" s="596"/>
      <c r="E157" s="1586"/>
      <c r="F157" s="981"/>
      <c r="G157" s="982"/>
      <c r="H157" s="982"/>
      <c r="I157" s="599"/>
      <c r="J157" s="476"/>
      <c r="K157" s="125"/>
    </row>
    <row r="158" spans="1:11">
      <c r="A158" s="699" t="s">
        <v>78</v>
      </c>
      <c r="B158" s="320"/>
      <c r="C158" s="322" t="s">
        <v>344</v>
      </c>
      <c r="D158" s="320"/>
      <c r="E158" s="984"/>
      <c r="F158" s="985" t="str">
        <f t="shared" ref="F158:F165" si="22">IF(OR(E158&lt;=0)," ",TRUNC(G158,2))</f>
        <v xml:space="preserve"> </v>
      </c>
      <c r="G158" s="700"/>
      <c r="H158" s="700" t="str">
        <f t="shared" ref="H158:H165" si="23">IF(OR(E158&lt;=0)," ",TRUNC((E158*(1+$I$10)),2))</f>
        <v xml:space="preserve"> </v>
      </c>
      <c r="I158" s="321" t="str">
        <f t="shared" ref="I158:I165" si="24">IF(OR(E158&lt;=0)," ",TRUNC((H158*F158),2))</f>
        <v xml:space="preserve"> </v>
      </c>
      <c r="J158" s="707" t="s">
        <v>1411</v>
      </c>
      <c r="K158" s="125"/>
    </row>
    <row r="159" spans="1:11" ht="42.75">
      <c r="A159" s="383" t="s">
        <v>1280</v>
      </c>
      <c r="B159" s="429" t="s">
        <v>1442</v>
      </c>
      <c r="C159" s="147" t="s">
        <v>626</v>
      </c>
      <c r="D159" s="254" t="s">
        <v>104</v>
      </c>
      <c r="E159" s="1576">
        <v>14.13</v>
      </c>
      <c r="F159" s="351">
        <f t="shared" si="22"/>
        <v>2630.84</v>
      </c>
      <c r="G159" s="350">
        <v>2630.84</v>
      </c>
      <c r="H159" s="352">
        <f t="shared" si="23"/>
        <v>17.27</v>
      </c>
      <c r="I159" s="169">
        <f t="shared" si="24"/>
        <v>45434.6</v>
      </c>
      <c r="J159" s="530">
        <f>'COMP ESTRUT'!F98</f>
        <v>16.43</v>
      </c>
      <c r="K159" s="378"/>
    </row>
    <row r="160" spans="1:11">
      <c r="A160" s="383" t="s">
        <v>1482</v>
      </c>
      <c r="B160" s="429" t="s">
        <v>1453</v>
      </c>
      <c r="C160" s="147" t="s">
        <v>1438</v>
      </c>
      <c r="D160" s="254" t="s">
        <v>104</v>
      </c>
      <c r="E160" s="1576">
        <v>2.27</v>
      </c>
      <c r="F160" s="351">
        <f t="shared" si="22"/>
        <v>2630.84</v>
      </c>
      <c r="G160" s="350">
        <v>2630.84</v>
      </c>
      <c r="H160" s="352">
        <f t="shared" si="23"/>
        <v>2.77</v>
      </c>
      <c r="I160" s="169">
        <f t="shared" si="24"/>
        <v>7287.42</v>
      </c>
      <c r="J160" s="564">
        <f>'COMP ESTRUT'!F109</f>
        <v>2.91</v>
      </c>
      <c r="K160" s="125"/>
    </row>
    <row r="161" spans="1:11" ht="30.75" customHeight="1">
      <c r="A161" s="383" t="s">
        <v>1483</v>
      </c>
      <c r="B161" s="429" t="s">
        <v>1454</v>
      </c>
      <c r="C161" s="147" t="s">
        <v>1444</v>
      </c>
      <c r="D161" s="329" t="s">
        <v>57</v>
      </c>
      <c r="E161" s="1576">
        <v>7.49</v>
      </c>
      <c r="F161" s="351">
        <f t="shared" si="22"/>
        <v>200</v>
      </c>
      <c r="G161" s="350">
        <v>200</v>
      </c>
      <c r="H161" s="352">
        <f t="shared" si="23"/>
        <v>9.15</v>
      </c>
      <c r="I161" s="169">
        <f t="shared" si="24"/>
        <v>1830</v>
      </c>
      <c r="J161" s="564">
        <f>'COMP ESTRUT'!F120</f>
        <v>8.2099999999999991</v>
      </c>
      <c r="K161" s="125"/>
    </row>
    <row r="162" spans="1:11" ht="46.5" customHeight="1">
      <c r="A162" s="383" t="s">
        <v>1484</v>
      </c>
      <c r="B162" s="429">
        <v>100747</v>
      </c>
      <c r="C162" s="147" t="s">
        <v>1806</v>
      </c>
      <c r="D162" s="166" t="s">
        <v>48</v>
      </c>
      <c r="E162" s="1576">
        <v>8.8699999999999992</v>
      </c>
      <c r="F162" s="351">
        <f t="shared" si="22"/>
        <v>159.83000000000001</v>
      </c>
      <c r="G162" s="350">
        <v>159.83000000000001</v>
      </c>
      <c r="H162" s="352">
        <f t="shared" si="23"/>
        <v>10.84</v>
      </c>
      <c r="I162" s="169">
        <f t="shared" si="24"/>
        <v>1732.55</v>
      </c>
      <c r="J162" s="237"/>
      <c r="K162" s="125"/>
    </row>
    <row r="163" spans="1:11" ht="14.25" customHeight="1" thickBot="1">
      <c r="A163" s="1496"/>
      <c r="B163" s="1279"/>
      <c r="C163" s="1497"/>
      <c r="D163" s="1498"/>
      <c r="E163" s="1578"/>
      <c r="F163" s="1499"/>
      <c r="G163" s="1500"/>
      <c r="H163" s="1501" t="s">
        <v>16</v>
      </c>
      <c r="I163" s="1502">
        <f>TRUNC(SUM(I159:I162),2)</f>
        <v>56284.57</v>
      </c>
      <c r="J163" s="237"/>
      <c r="K163" s="125"/>
    </row>
    <row r="164" spans="1:11">
      <c r="A164" s="1503" t="s">
        <v>79</v>
      </c>
      <c r="B164" s="1504"/>
      <c r="C164" s="1505" t="s">
        <v>1281</v>
      </c>
      <c r="D164" s="1504"/>
      <c r="E164" s="1506"/>
      <c r="F164" s="1507" t="str">
        <f t="shared" si="22"/>
        <v xml:space="preserve"> </v>
      </c>
      <c r="G164" s="1508"/>
      <c r="H164" s="1508" t="str">
        <f t="shared" si="23"/>
        <v xml:space="preserve"> </v>
      </c>
      <c r="I164" s="1509" t="str">
        <f t="shared" si="24"/>
        <v xml:space="preserve"> </v>
      </c>
      <c r="J164" s="505" t="s">
        <v>1409</v>
      </c>
      <c r="K164" s="125"/>
    </row>
    <row r="165" spans="1:11" ht="57">
      <c r="A165" s="211" t="s">
        <v>1282</v>
      </c>
      <c r="B165" s="254" t="s">
        <v>2174</v>
      </c>
      <c r="C165" s="1318" t="s">
        <v>165</v>
      </c>
      <c r="D165" s="166" t="s">
        <v>48</v>
      </c>
      <c r="E165" s="1576">
        <v>228.72</v>
      </c>
      <c r="F165" s="351">
        <f t="shared" si="22"/>
        <v>246.01</v>
      </c>
      <c r="G165" s="350">
        <v>246.01</v>
      </c>
      <c r="H165" s="352">
        <f t="shared" si="23"/>
        <v>279.56</v>
      </c>
      <c r="I165" s="169">
        <f t="shared" si="24"/>
        <v>68774.55</v>
      </c>
      <c r="J165" s="562">
        <f>'COMP CIVIL'!F505</f>
        <v>213.28</v>
      </c>
      <c r="K165" s="125"/>
    </row>
    <row r="166" spans="1:11" ht="15.75" thickBot="1">
      <c r="A166" s="254"/>
      <c r="B166" s="254"/>
      <c r="C166" s="254"/>
      <c r="D166" s="254"/>
      <c r="E166" s="1576"/>
      <c r="F166" s="992"/>
      <c r="G166" s="352"/>
      <c r="H166" s="993" t="s">
        <v>16</v>
      </c>
      <c r="I166" s="634">
        <f>TRUNC(SUM(I165:I165),2)</f>
        <v>68774.55</v>
      </c>
      <c r="K166" s="125"/>
    </row>
    <row r="167" spans="1:11">
      <c r="A167" s="593">
        <v>11</v>
      </c>
      <c r="B167" s="594"/>
      <c r="C167" s="595" t="s">
        <v>77</v>
      </c>
      <c r="D167" s="596"/>
      <c r="E167" s="1586"/>
      <c r="F167" s="981" t="str">
        <f t="shared" ref="F167:F174" si="25">IF(OR(E167&lt;=0)," ",TRUNC(G167,2))</f>
        <v xml:space="preserve"> </v>
      </c>
      <c r="G167" s="982"/>
      <c r="H167" s="982" t="str">
        <f t="shared" ref="H167:H173" si="26">IF(OR(E167&lt;=0)," ",TRUNC((E167*(1+$I$10)),2))</f>
        <v xml:space="preserve"> </v>
      </c>
      <c r="I167" s="599" t="str">
        <f t="shared" ref="I167:I173" si="27">IF(OR(E167&lt;=0)," ",TRUNC((H167*F167),2))</f>
        <v xml:space="preserve"> </v>
      </c>
      <c r="J167" s="476" t="s">
        <v>1412</v>
      </c>
      <c r="K167" s="125"/>
    </row>
    <row r="168" spans="1:11" ht="15.75" customHeight="1" thickBot="1">
      <c r="A168" s="1663" t="s">
        <v>83</v>
      </c>
      <c r="B168" s="1600"/>
      <c r="C168" s="1601" t="s">
        <v>1298</v>
      </c>
      <c r="D168" s="1600"/>
      <c r="E168" s="1602"/>
      <c r="F168" s="1603" t="str">
        <f t="shared" si="25"/>
        <v xml:space="preserve"> </v>
      </c>
      <c r="G168" s="1604"/>
      <c r="H168" s="1604" t="str">
        <f t="shared" si="26"/>
        <v xml:space="preserve"> </v>
      </c>
      <c r="I168" s="1605" t="str">
        <f t="shared" si="27"/>
        <v xml:space="preserve"> </v>
      </c>
      <c r="J168" s="822"/>
      <c r="K168" s="226"/>
    </row>
    <row r="169" spans="1:11" ht="45.75" customHeight="1">
      <c r="A169" s="1606" t="s">
        <v>1299</v>
      </c>
      <c r="B169" s="1664">
        <v>101880</v>
      </c>
      <c r="C169" s="1608" t="s">
        <v>1658</v>
      </c>
      <c r="D169" s="1665" t="s">
        <v>57</v>
      </c>
      <c r="E169" s="1666">
        <v>923.19</v>
      </c>
      <c r="F169" s="1609">
        <f t="shared" si="25"/>
        <v>1</v>
      </c>
      <c r="G169" s="1667">
        <v>1</v>
      </c>
      <c r="H169" s="1611">
        <f t="shared" si="26"/>
        <v>1128.4100000000001</v>
      </c>
      <c r="I169" s="1612">
        <f t="shared" si="27"/>
        <v>1128.4100000000001</v>
      </c>
      <c r="J169" s="126"/>
      <c r="K169" s="125"/>
    </row>
    <row r="170" spans="1:11" ht="32.25" customHeight="1">
      <c r="A170" s="213" t="s">
        <v>1300</v>
      </c>
      <c r="B170" s="1668" t="s">
        <v>1659</v>
      </c>
      <c r="C170" s="147" t="s">
        <v>553</v>
      </c>
      <c r="D170" s="180" t="s">
        <v>57</v>
      </c>
      <c r="E170" s="1572">
        <v>412.11</v>
      </c>
      <c r="F170" s="351">
        <f t="shared" si="25"/>
        <v>1</v>
      </c>
      <c r="G170" s="1984">
        <v>1</v>
      </c>
      <c r="H170" s="352">
        <f t="shared" si="26"/>
        <v>503.72</v>
      </c>
      <c r="I170" s="169">
        <f t="shared" si="27"/>
        <v>503.72</v>
      </c>
      <c r="J170" s="563">
        <f>'COMP ELE'!F330</f>
        <v>482.87</v>
      </c>
      <c r="K170" s="516" t="s">
        <v>1642</v>
      </c>
    </row>
    <row r="171" spans="1:11" ht="36" customHeight="1">
      <c r="A171" s="213" t="s">
        <v>1301</v>
      </c>
      <c r="B171" s="1985">
        <v>91935</v>
      </c>
      <c r="C171" s="147" t="s">
        <v>126</v>
      </c>
      <c r="D171" s="1985" t="s">
        <v>56</v>
      </c>
      <c r="E171" s="1572">
        <v>24.54</v>
      </c>
      <c r="F171" s="351">
        <f t="shared" si="25"/>
        <v>20.9</v>
      </c>
      <c r="G171" s="1984">
        <v>20.9</v>
      </c>
      <c r="H171" s="352">
        <f t="shared" si="26"/>
        <v>29.99</v>
      </c>
      <c r="I171" s="169">
        <f t="shared" si="27"/>
        <v>626.79</v>
      </c>
      <c r="J171" s="324"/>
      <c r="K171" s="784" t="s">
        <v>252</v>
      </c>
    </row>
    <row r="172" spans="1:11" ht="35.25" customHeight="1">
      <c r="A172" s="213" t="s">
        <v>1302</v>
      </c>
      <c r="B172" s="1985">
        <v>92984</v>
      </c>
      <c r="C172" s="147" t="s">
        <v>254</v>
      </c>
      <c r="D172" s="1985" t="s">
        <v>56</v>
      </c>
      <c r="E172" s="1572">
        <v>28.11</v>
      </c>
      <c r="F172" s="351">
        <f t="shared" si="25"/>
        <v>83.6</v>
      </c>
      <c r="G172" s="1955">
        <v>83.6</v>
      </c>
      <c r="H172" s="352">
        <f t="shared" si="26"/>
        <v>34.35</v>
      </c>
      <c r="I172" s="169">
        <f t="shared" si="27"/>
        <v>2871.66</v>
      </c>
      <c r="J172" s="324"/>
      <c r="K172" s="784" t="s">
        <v>252</v>
      </c>
    </row>
    <row r="173" spans="1:11" ht="33.75" customHeight="1">
      <c r="A173" s="213" t="s">
        <v>1303</v>
      </c>
      <c r="B173" s="1985">
        <v>91926</v>
      </c>
      <c r="C173" s="147" t="s">
        <v>255</v>
      </c>
      <c r="D173" s="1985" t="s">
        <v>56</v>
      </c>
      <c r="E173" s="1572">
        <v>4.03</v>
      </c>
      <c r="F173" s="351">
        <f t="shared" si="25"/>
        <v>860.6</v>
      </c>
      <c r="G173" s="1984">
        <v>860.6</v>
      </c>
      <c r="H173" s="352">
        <f t="shared" si="26"/>
        <v>4.92</v>
      </c>
      <c r="I173" s="169">
        <f t="shared" si="27"/>
        <v>4234.1499999999996</v>
      </c>
      <c r="J173" s="324"/>
      <c r="K173" s="784" t="s">
        <v>253</v>
      </c>
    </row>
    <row r="174" spans="1:11" ht="33" customHeight="1">
      <c r="A174" s="213" t="s">
        <v>1304</v>
      </c>
      <c r="B174" s="1985">
        <v>91928</v>
      </c>
      <c r="C174" s="147" t="s">
        <v>256</v>
      </c>
      <c r="D174" s="1985" t="s">
        <v>56</v>
      </c>
      <c r="E174" s="1572">
        <v>6.62</v>
      </c>
      <c r="F174" s="351">
        <f t="shared" si="25"/>
        <v>398</v>
      </c>
      <c r="G174" s="1984">
        <v>398</v>
      </c>
      <c r="H174" s="352">
        <f t="shared" ref="H174:H218" si="28">IF(OR(E174&lt;=0)," ",TRUNC((E174*(1+$I$10)),2))</f>
        <v>8.09</v>
      </c>
      <c r="I174" s="169">
        <f t="shared" ref="I174:I218" si="29">IF(OR(E174&lt;=0)," ",TRUNC((H174*F174),2))</f>
        <v>3219.82</v>
      </c>
      <c r="J174" s="324"/>
      <c r="K174" s="784" t="s">
        <v>253</v>
      </c>
    </row>
    <row r="175" spans="1:11" ht="36.75" customHeight="1">
      <c r="A175" s="213" t="s">
        <v>1305</v>
      </c>
      <c r="B175" s="1985">
        <v>91924</v>
      </c>
      <c r="C175" s="147" t="s">
        <v>1639</v>
      </c>
      <c r="D175" s="1985" t="s">
        <v>56</v>
      </c>
      <c r="E175" s="1572">
        <v>2.76</v>
      </c>
      <c r="F175" s="351">
        <f t="shared" ref="F175:F218" si="30">IF(OR(E175&lt;=0)," ",TRUNC(G175,2))</f>
        <v>544.79999999999995</v>
      </c>
      <c r="G175" s="1984">
        <v>544.79999999999995</v>
      </c>
      <c r="H175" s="352">
        <f t="shared" si="28"/>
        <v>3.37</v>
      </c>
      <c r="I175" s="169">
        <f t="shared" si="29"/>
        <v>1835.97</v>
      </c>
      <c r="J175" s="324"/>
      <c r="K175" s="784" t="s">
        <v>253</v>
      </c>
    </row>
    <row r="176" spans="1:11" ht="24" customHeight="1">
      <c r="A176" s="213" t="s">
        <v>1306</v>
      </c>
      <c r="B176" s="1670" t="s">
        <v>2373</v>
      </c>
      <c r="C176" s="147" t="s">
        <v>2374</v>
      </c>
      <c r="D176" s="164" t="s">
        <v>57</v>
      </c>
      <c r="E176" s="1572">
        <v>20.37</v>
      </c>
      <c r="F176" s="351">
        <f t="shared" si="30"/>
        <v>23</v>
      </c>
      <c r="G176" s="1984">
        <v>23</v>
      </c>
      <c r="H176" s="352">
        <f t="shared" si="28"/>
        <v>24.89</v>
      </c>
      <c r="I176" s="169">
        <f t="shared" si="29"/>
        <v>572.47</v>
      </c>
      <c r="J176" s="324">
        <f>'COMP ELE'!F517</f>
        <v>24.439999999999998</v>
      </c>
      <c r="K176" s="628"/>
    </row>
    <row r="177" spans="1:11" ht="22.5" customHeight="1">
      <c r="A177" s="213" t="s">
        <v>1307</v>
      </c>
      <c r="B177" s="1670" t="s">
        <v>2375</v>
      </c>
      <c r="C177" s="147" t="s">
        <v>2376</v>
      </c>
      <c r="D177" s="164" t="s">
        <v>57</v>
      </c>
      <c r="E177" s="1572">
        <v>20.37</v>
      </c>
      <c r="F177" s="351">
        <f t="shared" si="30"/>
        <v>1</v>
      </c>
      <c r="G177" s="1984">
        <v>1</v>
      </c>
      <c r="H177" s="352">
        <f t="shared" si="28"/>
        <v>24.89</v>
      </c>
      <c r="I177" s="169">
        <f t="shared" si="29"/>
        <v>24.89</v>
      </c>
      <c r="J177" s="324">
        <f>'COMP ELE'!F529</f>
        <v>24.439999999999998</v>
      </c>
      <c r="K177" s="628"/>
    </row>
    <row r="178" spans="1:11" ht="19.5" customHeight="1">
      <c r="A178" s="213" t="s">
        <v>1308</v>
      </c>
      <c r="B178" s="1670" t="s">
        <v>2377</v>
      </c>
      <c r="C178" s="147" t="s">
        <v>2378</v>
      </c>
      <c r="D178" s="164" t="s">
        <v>57</v>
      </c>
      <c r="E178" s="1572">
        <v>20.37</v>
      </c>
      <c r="F178" s="351">
        <f t="shared" si="30"/>
        <v>1</v>
      </c>
      <c r="G178" s="1984">
        <v>1</v>
      </c>
      <c r="H178" s="352">
        <f t="shared" si="28"/>
        <v>24.89</v>
      </c>
      <c r="I178" s="169">
        <f t="shared" si="29"/>
        <v>24.89</v>
      </c>
      <c r="J178" s="324">
        <f>'COMP ELE'!F541</f>
        <v>24.509999999999998</v>
      </c>
      <c r="K178" s="628"/>
    </row>
    <row r="179" spans="1:11" ht="24" customHeight="1">
      <c r="A179" s="213" t="s">
        <v>1309</v>
      </c>
      <c r="B179" s="1670" t="s">
        <v>2379</v>
      </c>
      <c r="C179" s="147" t="s">
        <v>2380</v>
      </c>
      <c r="D179" s="164" t="s">
        <v>57</v>
      </c>
      <c r="E179" s="1572">
        <v>22.21</v>
      </c>
      <c r="F179" s="351">
        <f t="shared" si="30"/>
        <v>2</v>
      </c>
      <c r="G179" s="1984">
        <v>2</v>
      </c>
      <c r="H179" s="352">
        <f t="shared" si="28"/>
        <v>27.14</v>
      </c>
      <c r="I179" s="169">
        <f t="shared" si="29"/>
        <v>54.28</v>
      </c>
      <c r="J179" s="324">
        <f>'COMP ELE'!F553</f>
        <v>26.77</v>
      </c>
      <c r="K179" s="628"/>
    </row>
    <row r="180" spans="1:11" ht="21" customHeight="1">
      <c r="A180" s="213" t="s">
        <v>1310</v>
      </c>
      <c r="B180" s="1670" t="s">
        <v>2381</v>
      </c>
      <c r="C180" s="147" t="s">
        <v>2382</v>
      </c>
      <c r="D180" s="164" t="s">
        <v>57</v>
      </c>
      <c r="E180" s="1572">
        <v>24.95</v>
      </c>
      <c r="F180" s="351">
        <f t="shared" si="30"/>
        <v>1</v>
      </c>
      <c r="G180" s="1984">
        <v>1</v>
      </c>
      <c r="H180" s="352">
        <f t="shared" si="28"/>
        <v>30.49</v>
      </c>
      <c r="I180" s="169">
        <f t="shared" si="29"/>
        <v>30.49</v>
      </c>
      <c r="J180" s="324">
        <f>'COMP ELE'!F565</f>
        <v>25.58</v>
      </c>
      <c r="K180" s="628"/>
    </row>
    <row r="181" spans="1:11" ht="32.25" customHeight="1">
      <c r="A181" s="213" t="s">
        <v>1311</v>
      </c>
      <c r="B181" s="1668">
        <v>95733</v>
      </c>
      <c r="C181" s="147" t="s">
        <v>1661</v>
      </c>
      <c r="D181" s="164" t="s">
        <v>57</v>
      </c>
      <c r="E181" s="1572">
        <v>5.27</v>
      </c>
      <c r="F181" s="351">
        <f t="shared" si="30"/>
        <v>5</v>
      </c>
      <c r="G181" s="1984">
        <v>5</v>
      </c>
      <c r="H181" s="352">
        <f t="shared" si="28"/>
        <v>6.44</v>
      </c>
      <c r="I181" s="169">
        <f t="shared" si="29"/>
        <v>32.200000000000003</v>
      </c>
      <c r="J181" s="563"/>
      <c r="K181" s="534"/>
    </row>
    <row r="182" spans="1:11" ht="18" customHeight="1">
      <c r="A182" s="213" t="s">
        <v>1312</v>
      </c>
      <c r="B182" s="1668" t="s">
        <v>1662</v>
      </c>
      <c r="C182" s="147" t="s">
        <v>560</v>
      </c>
      <c r="D182" s="164" t="s">
        <v>57</v>
      </c>
      <c r="E182" s="1572">
        <v>321.67</v>
      </c>
      <c r="F182" s="351">
        <f t="shared" si="30"/>
        <v>1</v>
      </c>
      <c r="G182" s="1984">
        <v>1</v>
      </c>
      <c r="H182" s="352">
        <f t="shared" si="28"/>
        <v>393.17</v>
      </c>
      <c r="I182" s="169">
        <f t="shared" si="29"/>
        <v>393.17</v>
      </c>
      <c r="J182" s="563">
        <f>'COMP ELE'!F341</f>
        <v>301.69</v>
      </c>
      <c r="K182" s="125"/>
    </row>
    <row r="183" spans="1:11" ht="31.5" customHeight="1">
      <c r="A183" s="213" t="s">
        <v>1313</v>
      </c>
      <c r="B183" s="1985">
        <v>91953</v>
      </c>
      <c r="C183" s="147" t="s">
        <v>127</v>
      </c>
      <c r="D183" s="164" t="s">
        <v>57</v>
      </c>
      <c r="E183" s="1572">
        <v>22.74</v>
      </c>
      <c r="F183" s="351">
        <f t="shared" si="30"/>
        <v>18</v>
      </c>
      <c r="G183" s="1984">
        <v>18</v>
      </c>
      <c r="H183" s="352">
        <f t="shared" si="28"/>
        <v>27.79</v>
      </c>
      <c r="I183" s="169">
        <f t="shared" si="29"/>
        <v>500.22</v>
      </c>
      <c r="J183" s="326"/>
      <c r="K183" s="648" t="s">
        <v>1665</v>
      </c>
    </row>
    <row r="184" spans="1:11" ht="33" customHeight="1">
      <c r="A184" s="213" t="s">
        <v>1314</v>
      </c>
      <c r="B184" s="1985">
        <v>91959</v>
      </c>
      <c r="C184" s="147" t="s">
        <v>180</v>
      </c>
      <c r="D184" s="164" t="s">
        <v>57</v>
      </c>
      <c r="E184" s="1572">
        <v>36.020000000000003</v>
      </c>
      <c r="F184" s="351">
        <f t="shared" si="30"/>
        <v>1</v>
      </c>
      <c r="G184" s="1984">
        <v>1</v>
      </c>
      <c r="H184" s="352">
        <f t="shared" si="28"/>
        <v>44.02</v>
      </c>
      <c r="I184" s="169">
        <f t="shared" si="29"/>
        <v>44.02</v>
      </c>
      <c r="J184" s="326"/>
      <c r="K184" s="125"/>
    </row>
    <row r="185" spans="1:11" ht="19.5" customHeight="1">
      <c r="A185" s="213" t="s">
        <v>1315</v>
      </c>
      <c r="B185" s="1668" t="s">
        <v>1663</v>
      </c>
      <c r="C185" s="147" t="s">
        <v>557</v>
      </c>
      <c r="D185" s="164" t="s">
        <v>57</v>
      </c>
      <c r="E185" s="1572">
        <v>7.6</v>
      </c>
      <c r="F185" s="351">
        <f t="shared" si="30"/>
        <v>9</v>
      </c>
      <c r="G185" s="1984">
        <v>9</v>
      </c>
      <c r="H185" s="352">
        <f t="shared" si="28"/>
        <v>9.2799999999999994</v>
      </c>
      <c r="I185" s="169">
        <f t="shared" si="29"/>
        <v>83.52</v>
      </c>
      <c r="J185" s="563">
        <f>'COMP ELE'!F358</f>
        <v>7.91</v>
      </c>
      <c r="K185" s="125"/>
    </row>
    <row r="186" spans="1:11" ht="33" customHeight="1">
      <c r="A186" s="213" t="s">
        <v>1316</v>
      </c>
      <c r="B186" s="1985">
        <v>91967</v>
      </c>
      <c r="C186" s="147" t="s">
        <v>1666</v>
      </c>
      <c r="D186" s="164" t="s">
        <v>57</v>
      </c>
      <c r="E186" s="1572">
        <v>49.3</v>
      </c>
      <c r="F186" s="351">
        <f t="shared" si="30"/>
        <v>1</v>
      </c>
      <c r="G186" s="1984">
        <v>1</v>
      </c>
      <c r="H186" s="352">
        <f t="shared" si="28"/>
        <v>60.25</v>
      </c>
      <c r="I186" s="169">
        <f t="shared" si="29"/>
        <v>60.25</v>
      </c>
      <c r="J186" s="326"/>
      <c r="K186" s="125"/>
    </row>
    <row r="187" spans="1:11" ht="33" customHeight="1">
      <c r="A187" s="213" t="s">
        <v>1317</v>
      </c>
      <c r="B187" s="1985">
        <v>92022</v>
      </c>
      <c r="C187" s="147" t="s">
        <v>1668</v>
      </c>
      <c r="D187" s="164" t="s">
        <v>57</v>
      </c>
      <c r="E187" s="1572">
        <v>33.450000000000003</v>
      </c>
      <c r="F187" s="351">
        <f t="shared" si="30"/>
        <v>5</v>
      </c>
      <c r="G187" s="1984">
        <v>5</v>
      </c>
      <c r="H187" s="352">
        <f t="shared" si="28"/>
        <v>40.880000000000003</v>
      </c>
      <c r="I187" s="169">
        <f t="shared" si="29"/>
        <v>204.4</v>
      </c>
      <c r="J187" s="326"/>
      <c r="K187" s="800" t="s">
        <v>1670</v>
      </c>
    </row>
    <row r="188" spans="1:11" ht="33" customHeight="1">
      <c r="A188" s="213" t="s">
        <v>1318</v>
      </c>
      <c r="B188" s="1985">
        <v>92028</v>
      </c>
      <c r="C188" s="147" t="s">
        <v>1671</v>
      </c>
      <c r="D188" s="164" t="s">
        <v>57</v>
      </c>
      <c r="E188" s="1572">
        <v>38.869999999999997</v>
      </c>
      <c r="F188" s="351">
        <f t="shared" si="30"/>
        <v>1</v>
      </c>
      <c r="G188" s="1984">
        <v>1</v>
      </c>
      <c r="H188" s="352">
        <f t="shared" si="28"/>
        <v>47.51</v>
      </c>
      <c r="I188" s="169">
        <f t="shared" si="29"/>
        <v>47.51</v>
      </c>
      <c r="J188" s="326"/>
      <c r="K188" s="800" t="s">
        <v>1667</v>
      </c>
    </row>
    <row r="189" spans="1:11" ht="33" customHeight="1">
      <c r="A189" s="213" t="s">
        <v>1319</v>
      </c>
      <c r="B189" s="1985">
        <v>91994</v>
      </c>
      <c r="C189" s="147" t="s">
        <v>1672</v>
      </c>
      <c r="D189" s="164" t="s">
        <v>57</v>
      </c>
      <c r="E189" s="1572">
        <v>20.21</v>
      </c>
      <c r="F189" s="351">
        <f t="shared" si="30"/>
        <v>2</v>
      </c>
      <c r="G189" s="1984">
        <v>2</v>
      </c>
      <c r="H189" s="352">
        <f t="shared" si="28"/>
        <v>24.7</v>
      </c>
      <c r="I189" s="169">
        <f t="shared" si="29"/>
        <v>49.4</v>
      </c>
      <c r="J189" s="326"/>
      <c r="K189" s="125"/>
    </row>
    <row r="190" spans="1:11" ht="28.5">
      <c r="A190" s="213" t="s">
        <v>1320</v>
      </c>
      <c r="B190" s="1985">
        <v>92000</v>
      </c>
      <c r="C190" s="147" t="s">
        <v>260</v>
      </c>
      <c r="D190" s="180" t="s">
        <v>57</v>
      </c>
      <c r="E190" s="1572">
        <v>24.04</v>
      </c>
      <c r="F190" s="351">
        <f t="shared" si="30"/>
        <v>32</v>
      </c>
      <c r="G190" s="1984">
        <v>32</v>
      </c>
      <c r="H190" s="352">
        <f t="shared" si="28"/>
        <v>29.38</v>
      </c>
      <c r="I190" s="169">
        <f t="shared" si="29"/>
        <v>940.16</v>
      </c>
      <c r="J190" s="326"/>
      <c r="K190" s="629"/>
    </row>
    <row r="191" spans="1:11" ht="29.25" thickBot="1">
      <c r="A191" s="170" t="s">
        <v>1321</v>
      </c>
      <c r="B191" s="124">
        <v>91997</v>
      </c>
      <c r="C191" s="1646" t="s">
        <v>1259</v>
      </c>
      <c r="D191" s="1671" t="s">
        <v>57</v>
      </c>
      <c r="E191" s="1672">
        <v>29.12</v>
      </c>
      <c r="F191" s="988">
        <f t="shared" si="30"/>
        <v>2</v>
      </c>
      <c r="G191" s="1673">
        <v>2</v>
      </c>
      <c r="H191" s="979">
        <f t="shared" si="28"/>
        <v>35.590000000000003</v>
      </c>
      <c r="I191" s="1648">
        <f t="shared" si="29"/>
        <v>71.180000000000007</v>
      </c>
      <c r="J191" s="326"/>
      <c r="K191" s="629"/>
    </row>
    <row r="192" spans="1:11" ht="33" customHeight="1">
      <c r="A192" s="1606" t="s">
        <v>1322</v>
      </c>
      <c r="B192" s="1674">
        <v>91992</v>
      </c>
      <c r="C192" s="1608" t="s">
        <v>1260</v>
      </c>
      <c r="D192" s="1665" t="s">
        <v>57</v>
      </c>
      <c r="E192" s="1666">
        <v>35.11</v>
      </c>
      <c r="F192" s="1609">
        <f t="shared" si="30"/>
        <v>2</v>
      </c>
      <c r="G192" s="1667">
        <v>2</v>
      </c>
      <c r="H192" s="1611">
        <f t="shared" si="28"/>
        <v>42.91</v>
      </c>
      <c r="I192" s="1612">
        <f t="shared" si="29"/>
        <v>85.82</v>
      </c>
      <c r="J192" s="326"/>
      <c r="K192" s="629"/>
    </row>
    <row r="193" spans="1:11" ht="28.5">
      <c r="A193" s="213" t="s">
        <v>1323</v>
      </c>
      <c r="B193" s="1985">
        <v>92009</v>
      </c>
      <c r="C193" s="147" t="s">
        <v>261</v>
      </c>
      <c r="D193" s="180" t="s">
        <v>57</v>
      </c>
      <c r="E193" s="1572">
        <v>42.55</v>
      </c>
      <c r="F193" s="351">
        <f t="shared" si="30"/>
        <v>19</v>
      </c>
      <c r="G193" s="1984">
        <v>19</v>
      </c>
      <c r="H193" s="352">
        <f t="shared" si="28"/>
        <v>52</v>
      </c>
      <c r="I193" s="169">
        <f t="shared" si="29"/>
        <v>988</v>
      </c>
      <c r="J193" s="326"/>
      <c r="K193" s="629"/>
    </row>
    <row r="194" spans="1:11" ht="28.5">
      <c r="A194" s="213" t="s">
        <v>1324</v>
      </c>
      <c r="B194" s="1985">
        <v>93653</v>
      </c>
      <c r="C194" s="325" t="s">
        <v>258</v>
      </c>
      <c r="D194" s="180" t="s">
        <v>57</v>
      </c>
      <c r="E194" s="1572">
        <v>12.19</v>
      </c>
      <c r="F194" s="351">
        <f t="shared" si="30"/>
        <v>15</v>
      </c>
      <c r="G194" s="1984">
        <v>15</v>
      </c>
      <c r="H194" s="352">
        <f t="shared" si="28"/>
        <v>14.89</v>
      </c>
      <c r="I194" s="169">
        <f t="shared" si="29"/>
        <v>223.35</v>
      </c>
      <c r="J194" s="326"/>
      <c r="K194" s="125"/>
    </row>
    <row r="195" spans="1:11" ht="28.5">
      <c r="A195" s="213" t="s">
        <v>1765</v>
      </c>
      <c r="B195" s="1985">
        <v>93661</v>
      </c>
      <c r="C195" s="147" t="s">
        <v>1677</v>
      </c>
      <c r="D195" s="180" t="s">
        <v>57</v>
      </c>
      <c r="E195" s="1572">
        <v>62.2</v>
      </c>
      <c r="F195" s="351">
        <f t="shared" si="30"/>
        <v>5</v>
      </c>
      <c r="G195" s="1984">
        <v>5</v>
      </c>
      <c r="H195" s="352">
        <f t="shared" si="28"/>
        <v>76.02</v>
      </c>
      <c r="I195" s="169">
        <f t="shared" si="29"/>
        <v>380.1</v>
      </c>
      <c r="J195" s="326"/>
      <c r="K195" s="125"/>
    </row>
    <row r="196" spans="1:11" ht="28.5">
      <c r="A196" s="213" t="s">
        <v>1325</v>
      </c>
      <c r="B196" s="1985">
        <v>93660</v>
      </c>
      <c r="C196" s="325" t="s">
        <v>257</v>
      </c>
      <c r="D196" s="180" t="s">
        <v>57</v>
      </c>
      <c r="E196" s="1572">
        <v>61.14</v>
      </c>
      <c r="F196" s="351">
        <f t="shared" si="30"/>
        <v>4</v>
      </c>
      <c r="G196" s="1984">
        <v>4</v>
      </c>
      <c r="H196" s="352">
        <f t="shared" si="28"/>
        <v>74.73</v>
      </c>
      <c r="I196" s="169">
        <f t="shared" si="29"/>
        <v>298.92</v>
      </c>
      <c r="J196" s="326"/>
      <c r="K196" s="125"/>
    </row>
    <row r="197" spans="1:11" ht="28.5">
      <c r="A197" s="213" t="s">
        <v>1326</v>
      </c>
      <c r="B197" s="1985">
        <v>101895</v>
      </c>
      <c r="C197" s="147" t="s">
        <v>1678</v>
      </c>
      <c r="D197" s="180" t="s">
        <v>57</v>
      </c>
      <c r="E197" s="1572">
        <v>447.3</v>
      </c>
      <c r="F197" s="351">
        <f t="shared" si="30"/>
        <v>1</v>
      </c>
      <c r="G197" s="1984">
        <v>1</v>
      </c>
      <c r="H197" s="352">
        <f t="shared" si="28"/>
        <v>546.73</v>
      </c>
      <c r="I197" s="169">
        <f t="shared" si="29"/>
        <v>546.73</v>
      </c>
      <c r="J197" s="326"/>
      <c r="K197" s="125"/>
    </row>
    <row r="198" spans="1:11" ht="28.5">
      <c r="A198" s="213" t="s">
        <v>1766</v>
      </c>
      <c r="B198" s="318" t="s">
        <v>1676</v>
      </c>
      <c r="C198" s="325" t="s">
        <v>1679</v>
      </c>
      <c r="D198" s="180" t="s">
        <v>57</v>
      </c>
      <c r="E198" s="1572">
        <v>166.4</v>
      </c>
      <c r="F198" s="351">
        <f t="shared" si="30"/>
        <v>1</v>
      </c>
      <c r="G198" s="1984">
        <v>1</v>
      </c>
      <c r="H198" s="352">
        <f t="shared" si="28"/>
        <v>203.39</v>
      </c>
      <c r="I198" s="169">
        <f t="shared" si="29"/>
        <v>203.39</v>
      </c>
      <c r="J198" s="563">
        <f>'COMP ELE'!F386</f>
        <v>168.89</v>
      </c>
      <c r="K198" s="125"/>
    </row>
    <row r="199" spans="1:11" ht="28.5">
      <c r="A199" s="213" t="s">
        <v>1767</v>
      </c>
      <c r="B199" s="1787">
        <v>91941</v>
      </c>
      <c r="C199" s="325" t="s">
        <v>181</v>
      </c>
      <c r="D199" s="180" t="s">
        <v>57</v>
      </c>
      <c r="E199" s="1572">
        <v>8.92</v>
      </c>
      <c r="F199" s="351">
        <f t="shared" si="30"/>
        <v>55</v>
      </c>
      <c r="G199" s="1984">
        <v>55</v>
      </c>
      <c r="H199" s="352">
        <f t="shared" si="28"/>
        <v>10.9</v>
      </c>
      <c r="I199" s="169">
        <f t="shared" si="29"/>
        <v>599.5</v>
      </c>
      <c r="K199" s="125"/>
    </row>
    <row r="200" spans="1:11" ht="28.5">
      <c r="A200" s="213" t="s">
        <v>1768</v>
      </c>
      <c r="B200" s="1985">
        <v>91940</v>
      </c>
      <c r="C200" s="147" t="s">
        <v>128</v>
      </c>
      <c r="D200" s="180" t="s">
        <v>57</v>
      </c>
      <c r="E200" s="1572">
        <v>13.26</v>
      </c>
      <c r="F200" s="351">
        <f t="shared" si="30"/>
        <v>16</v>
      </c>
      <c r="G200" s="1984">
        <v>16</v>
      </c>
      <c r="H200" s="352">
        <f t="shared" si="28"/>
        <v>16.2</v>
      </c>
      <c r="I200" s="169">
        <f t="shared" si="29"/>
        <v>259.2</v>
      </c>
      <c r="K200" s="125"/>
    </row>
    <row r="201" spans="1:11" ht="28.5">
      <c r="A201" s="213" t="s">
        <v>1769</v>
      </c>
      <c r="B201" s="1985">
        <v>91939</v>
      </c>
      <c r="C201" s="147" t="s">
        <v>182</v>
      </c>
      <c r="D201" s="180" t="s">
        <v>57</v>
      </c>
      <c r="E201" s="1572">
        <v>24.8</v>
      </c>
      <c r="F201" s="351">
        <f t="shared" si="30"/>
        <v>9</v>
      </c>
      <c r="G201" s="1984">
        <v>9</v>
      </c>
      <c r="H201" s="352">
        <f t="shared" si="28"/>
        <v>30.31</v>
      </c>
      <c r="I201" s="169">
        <f t="shared" si="29"/>
        <v>272.79000000000002</v>
      </c>
      <c r="K201" s="125"/>
    </row>
    <row r="202" spans="1:11" ht="28.5">
      <c r="A202" s="213" t="s">
        <v>1770</v>
      </c>
      <c r="B202" s="1668" t="s">
        <v>1673</v>
      </c>
      <c r="C202" s="147" t="s">
        <v>1640</v>
      </c>
      <c r="D202" s="180" t="s">
        <v>57</v>
      </c>
      <c r="E202" s="1572">
        <v>75.510000000000005</v>
      </c>
      <c r="F202" s="351">
        <f t="shared" si="30"/>
        <v>2</v>
      </c>
      <c r="G202" s="1984">
        <v>2</v>
      </c>
      <c r="H202" s="352">
        <f t="shared" si="28"/>
        <v>92.29</v>
      </c>
      <c r="I202" s="169">
        <f t="shared" si="29"/>
        <v>184.58</v>
      </c>
      <c r="J202" s="563">
        <f>'COMP ELE'!F375</f>
        <v>106.96000000000001</v>
      </c>
      <c r="K202" s="534"/>
    </row>
    <row r="203" spans="1:11" ht="28.5">
      <c r="A203" s="213" t="s">
        <v>1771</v>
      </c>
      <c r="B203" s="1668" t="s">
        <v>574</v>
      </c>
      <c r="C203" s="147" t="s">
        <v>1641</v>
      </c>
      <c r="D203" s="180" t="s">
        <v>57</v>
      </c>
      <c r="E203" s="1572">
        <v>113.76</v>
      </c>
      <c r="F203" s="351">
        <f t="shared" si="30"/>
        <v>9</v>
      </c>
      <c r="G203" s="1984">
        <v>9</v>
      </c>
      <c r="H203" s="352">
        <f t="shared" si="28"/>
        <v>139.04</v>
      </c>
      <c r="I203" s="169">
        <f t="shared" si="29"/>
        <v>1251.3599999999999</v>
      </c>
      <c r="J203" s="564">
        <f>'COMP ELE'!F250</f>
        <v>163.01000000000002</v>
      </c>
      <c r="K203" s="534"/>
    </row>
    <row r="204" spans="1:11" ht="20.25" customHeight="1">
      <c r="A204" s="213" t="s">
        <v>1772</v>
      </c>
      <c r="B204" s="318" t="s">
        <v>1682</v>
      </c>
      <c r="C204" s="325" t="s">
        <v>259</v>
      </c>
      <c r="D204" s="180" t="s">
        <v>57</v>
      </c>
      <c r="E204" s="1572">
        <v>72.16</v>
      </c>
      <c r="F204" s="351">
        <f t="shared" si="30"/>
        <v>4</v>
      </c>
      <c r="G204" s="1984">
        <v>4</v>
      </c>
      <c r="H204" s="352">
        <f t="shared" si="28"/>
        <v>88.2</v>
      </c>
      <c r="I204" s="169">
        <f t="shared" si="29"/>
        <v>352.8</v>
      </c>
      <c r="J204" s="564">
        <f>'COMP ELE'!F403</f>
        <v>86.39</v>
      </c>
      <c r="K204" s="125"/>
    </row>
    <row r="205" spans="1:11" ht="22.5" customHeight="1">
      <c r="A205" s="213" t="s">
        <v>1773</v>
      </c>
      <c r="B205" s="318" t="s">
        <v>562</v>
      </c>
      <c r="C205" s="147" t="s">
        <v>1694</v>
      </c>
      <c r="D205" s="180" t="s">
        <v>57</v>
      </c>
      <c r="E205" s="1572">
        <v>3.16</v>
      </c>
      <c r="F205" s="351">
        <f t="shared" si="30"/>
        <v>76</v>
      </c>
      <c r="G205" s="1984">
        <v>76</v>
      </c>
      <c r="H205" s="352">
        <f t="shared" si="28"/>
        <v>3.86</v>
      </c>
      <c r="I205" s="169">
        <f t="shared" si="29"/>
        <v>293.36</v>
      </c>
      <c r="J205" s="801">
        <f>'COMP ELE'!F186</f>
        <v>3.92</v>
      </c>
      <c r="K205" s="799"/>
    </row>
    <row r="206" spans="1:11" ht="21.75" customHeight="1">
      <c r="A206" s="213" t="s">
        <v>1774</v>
      </c>
      <c r="B206" s="318" t="s">
        <v>1693</v>
      </c>
      <c r="C206" s="147" t="s">
        <v>1695</v>
      </c>
      <c r="D206" s="180" t="s">
        <v>57</v>
      </c>
      <c r="E206" s="1572">
        <v>3.95</v>
      </c>
      <c r="F206" s="351">
        <f t="shared" si="30"/>
        <v>26</v>
      </c>
      <c r="G206" s="1984">
        <v>26</v>
      </c>
      <c r="H206" s="352">
        <f t="shared" si="28"/>
        <v>4.82</v>
      </c>
      <c r="I206" s="169">
        <f t="shared" si="29"/>
        <v>125.32</v>
      </c>
      <c r="J206" s="563">
        <f>'COMP ELE'!F414</f>
        <v>4.17</v>
      </c>
      <c r="K206" s="125"/>
    </row>
    <row r="207" spans="1:11" ht="36" customHeight="1">
      <c r="A207" s="213" t="s">
        <v>1775</v>
      </c>
      <c r="B207" s="318">
        <v>95730</v>
      </c>
      <c r="C207" s="147" t="s">
        <v>1688</v>
      </c>
      <c r="D207" s="1787" t="s">
        <v>56</v>
      </c>
      <c r="E207" s="1572">
        <v>9</v>
      </c>
      <c r="F207" s="351">
        <f t="shared" si="30"/>
        <v>15.9</v>
      </c>
      <c r="G207" s="1984">
        <v>15.9</v>
      </c>
      <c r="H207" s="352">
        <f t="shared" si="28"/>
        <v>11</v>
      </c>
      <c r="I207" s="169">
        <f t="shared" si="29"/>
        <v>174.9</v>
      </c>
      <c r="J207" s="209"/>
      <c r="K207" s="125"/>
    </row>
    <row r="208" spans="1:11" ht="36" customHeight="1">
      <c r="A208" s="213" t="s">
        <v>1776</v>
      </c>
      <c r="B208" s="318">
        <v>95727</v>
      </c>
      <c r="C208" s="147" t="s">
        <v>1689</v>
      </c>
      <c r="D208" s="1787" t="s">
        <v>56</v>
      </c>
      <c r="E208" s="1572">
        <v>7.17</v>
      </c>
      <c r="F208" s="351">
        <f t="shared" si="30"/>
        <v>65</v>
      </c>
      <c r="G208" s="1984">
        <v>65</v>
      </c>
      <c r="H208" s="352">
        <f t="shared" si="28"/>
        <v>8.76</v>
      </c>
      <c r="I208" s="169">
        <f t="shared" si="29"/>
        <v>569.4</v>
      </c>
      <c r="J208" s="209"/>
      <c r="K208" s="648"/>
    </row>
    <row r="209" spans="1:14" ht="36" customHeight="1">
      <c r="A209" s="213" t="s">
        <v>1777</v>
      </c>
      <c r="B209" s="318">
        <v>91846</v>
      </c>
      <c r="C209" s="147" t="s">
        <v>457</v>
      </c>
      <c r="D209" s="1787" t="s">
        <v>56</v>
      </c>
      <c r="E209" s="1572">
        <v>8.4600000000000009</v>
      </c>
      <c r="F209" s="351">
        <f t="shared" si="30"/>
        <v>10</v>
      </c>
      <c r="G209" s="1984">
        <v>10</v>
      </c>
      <c r="H209" s="352">
        <f t="shared" si="28"/>
        <v>10.34</v>
      </c>
      <c r="I209" s="169">
        <f t="shared" si="29"/>
        <v>103.4</v>
      </c>
      <c r="J209" s="209"/>
      <c r="K209" s="125"/>
    </row>
    <row r="210" spans="1:14" ht="36" customHeight="1">
      <c r="A210" s="213" t="s">
        <v>1778</v>
      </c>
      <c r="B210" s="318">
        <v>91844</v>
      </c>
      <c r="C210" s="147" t="s">
        <v>458</v>
      </c>
      <c r="D210" s="1787" t="s">
        <v>56</v>
      </c>
      <c r="E210" s="1572">
        <v>5.99</v>
      </c>
      <c r="F210" s="351">
        <f t="shared" si="30"/>
        <v>277.25</v>
      </c>
      <c r="G210" s="1984">
        <v>277.25</v>
      </c>
      <c r="H210" s="352">
        <f t="shared" si="28"/>
        <v>7.32</v>
      </c>
      <c r="I210" s="169">
        <f t="shared" si="29"/>
        <v>2029.47</v>
      </c>
      <c r="J210" s="209"/>
      <c r="K210" s="125"/>
    </row>
    <row r="211" spans="1:14" ht="45" customHeight="1">
      <c r="A211" s="213" t="s">
        <v>1779</v>
      </c>
      <c r="B211" s="318">
        <v>91854</v>
      </c>
      <c r="C211" s="147" t="s">
        <v>1690</v>
      </c>
      <c r="D211" s="1787" t="s">
        <v>56</v>
      </c>
      <c r="E211" s="1572">
        <v>8.1999999999999993</v>
      </c>
      <c r="F211" s="351">
        <f t="shared" si="30"/>
        <v>8.5500000000000007</v>
      </c>
      <c r="G211" s="1984">
        <v>8.5500000000000007</v>
      </c>
      <c r="H211" s="352">
        <f t="shared" si="28"/>
        <v>10.02</v>
      </c>
      <c r="I211" s="169">
        <f t="shared" si="29"/>
        <v>85.67</v>
      </c>
      <c r="J211" s="209"/>
      <c r="K211" s="125"/>
    </row>
    <row r="212" spans="1:14" ht="33.75" customHeight="1">
      <c r="A212" s="213" t="s">
        <v>1780</v>
      </c>
      <c r="B212" s="318">
        <v>97667</v>
      </c>
      <c r="C212" s="325" t="s">
        <v>1261</v>
      </c>
      <c r="D212" s="1787" t="s">
        <v>56</v>
      </c>
      <c r="E212" s="1572">
        <v>6.77</v>
      </c>
      <c r="F212" s="351">
        <f t="shared" si="30"/>
        <v>20.9</v>
      </c>
      <c r="G212" s="1984">
        <v>20.9</v>
      </c>
      <c r="H212" s="352">
        <f t="shared" si="28"/>
        <v>8.27</v>
      </c>
      <c r="I212" s="169">
        <f t="shared" si="29"/>
        <v>172.84</v>
      </c>
      <c r="J212" s="209"/>
      <c r="K212" s="125"/>
    </row>
    <row r="213" spans="1:14" ht="30.75" customHeight="1">
      <c r="A213" s="213" t="s">
        <v>1781</v>
      </c>
      <c r="B213" s="318" t="s">
        <v>1696</v>
      </c>
      <c r="C213" s="147" t="s">
        <v>1687</v>
      </c>
      <c r="D213" s="164" t="s">
        <v>57</v>
      </c>
      <c r="E213" s="1572">
        <v>367.99</v>
      </c>
      <c r="F213" s="351">
        <f t="shared" si="30"/>
        <v>23</v>
      </c>
      <c r="G213" s="1984">
        <v>23</v>
      </c>
      <c r="H213" s="352">
        <f t="shared" si="28"/>
        <v>449.79</v>
      </c>
      <c r="I213" s="169">
        <f t="shared" si="29"/>
        <v>10345.17</v>
      </c>
      <c r="J213" s="563">
        <f>'COMP ELE'!F433</f>
        <v>419.46999999999997</v>
      </c>
      <c r="K213" s="630"/>
    </row>
    <row r="214" spans="1:14" ht="30.75" customHeight="1" thickBot="1">
      <c r="A214" s="170" t="s">
        <v>1782</v>
      </c>
      <c r="B214" s="1681" t="s">
        <v>1698</v>
      </c>
      <c r="C214" s="1646" t="s">
        <v>1708</v>
      </c>
      <c r="D214" s="1986" t="s">
        <v>57</v>
      </c>
      <c r="E214" s="1672">
        <v>58.11</v>
      </c>
      <c r="F214" s="988">
        <f t="shared" si="30"/>
        <v>11</v>
      </c>
      <c r="G214" s="1673">
        <v>11</v>
      </c>
      <c r="H214" s="979">
        <f t="shared" si="28"/>
        <v>71.02</v>
      </c>
      <c r="I214" s="1648">
        <f t="shared" si="29"/>
        <v>781.22</v>
      </c>
      <c r="J214" s="563">
        <f>'COMP ELE'!F451</f>
        <v>63.34</v>
      </c>
      <c r="K214" s="630"/>
    </row>
    <row r="215" spans="1:14" ht="30.75" customHeight="1">
      <c r="A215" s="1606" t="s">
        <v>1783</v>
      </c>
      <c r="B215" s="1694" t="s">
        <v>1701</v>
      </c>
      <c r="C215" s="1608" t="s">
        <v>1707</v>
      </c>
      <c r="D215" s="1665" t="s">
        <v>57</v>
      </c>
      <c r="E215" s="1982">
        <v>34.520000000000003</v>
      </c>
      <c r="F215" s="1609">
        <f t="shared" si="30"/>
        <v>3</v>
      </c>
      <c r="G215" s="1983">
        <v>3</v>
      </c>
      <c r="H215" s="1611">
        <f t="shared" si="28"/>
        <v>42.19</v>
      </c>
      <c r="I215" s="1612">
        <f t="shared" si="29"/>
        <v>126.57</v>
      </c>
      <c r="J215" s="563">
        <f>'COMP ELE'!F469</f>
        <v>38.11</v>
      </c>
      <c r="K215" s="630"/>
    </row>
    <row r="216" spans="1:14" ht="30.75" customHeight="1">
      <c r="A216" s="213" t="s">
        <v>1784</v>
      </c>
      <c r="B216" s="318" t="s">
        <v>1702</v>
      </c>
      <c r="C216" s="147" t="s">
        <v>1714</v>
      </c>
      <c r="D216" s="164" t="s">
        <v>57</v>
      </c>
      <c r="E216" s="1675">
        <v>71.61</v>
      </c>
      <c r="F216" s="351">
        <f t="shared" si="30"/>
        <v>4</v>
      </c>
      <c r="G216" s="1676">
        <v>4</v>
      </c>
      <c r="H216" s="352">
        <f t="shared" si="28"/>
        <v>87.52</v>
      </c>
      <c r="I216" s="169">
        <f t="shared" si="29"/>
        <v>350.08</v>
      </c>
      <c r="J216" s="563">
        <f>'COMP ELE'!F488</f>
        <v>81.39</v>
      </c>
      <c r="K216" s="630"/>
    </row>
    <row r="217" spans="1:14" ht="20.25" customHeight="1">
      <c r="A217" s="213" t="s">
        <v>1785</v>
      </c>
      <c r="B217" s="318" t="s">
        <v>1706</v>
      </c>
      <c r="C217" s="147" t="s">
        <v>1705</v>
      </c>
      <c r="D217" s="164" t="s">
        <v>57</v>
      </c>
      <c r="E217" s="1675">
        <v>5.01</v>
      </c>
      <c r="F217" s="351">
        <f t="shared" si="30"/>
        <v>5</v>
      </c>
      <c r="G217" s="1676">
        <v>5</v>
      </c>
      <c r="H217" s="352">
        <f t="shared" si="28"/>
        <v>6.12</v>
      </c>
      <c r="I217" s="169">
        <f t="shared" si="29"/>
        <v>30.6</v>
      </c>
      <c r="J217" s="563">
        <f>'COMP ELE'!F505</f>
        <v>6.24</v>
      </c>
      <c r="K217" s="630"/>
    </row>
    <row r="218" spans="1:14" ht="31.5" customHeight="1">
      <c r="A218" s="213" t="s">
        <v>1786</v>
      </c>
      <c r="B218" s="1677">
        <v>90447</v>
      </c>
      <c r="C218" s="147" t="s">
        <v>1684</v>
      </c>
      <c r="D218" s="1787" t="s">
        <v>56</v>
      </c>
      <c r="E218" s="1675">
        <v>5.66</v>
      </c>
      <c r="F218" s="351">
        <f t="shared" si="30"/>
        <v>8.5500000000000007</v>
      </c>
      <c r="G218" s="1676">
        <v>8.5500000000000007</v>
      </c>
      <c r="H218" s="352">
        <f t="shared" si="28"/>
        <v>6.91</v>
      </c>
      <c r="I218" s="169">
        <f t="shared" si="29"/>
        <v>59.08</v>
      </c>
      <c r="J218" s="563"/>
      <c r="K218" s="630"/>
    </row>
    <row r="219" spans="1:14" ht="15.75" thickBot="1">
      <c r="A219" s="170"/>
      <c r="B219" s="1678"/>
      <c r="C219" s="1679"/>
      <c r="D219" s="173"/>
      <c r="E219" s="1573"/>
      <c r="F219" s="978"/>
      <c r="G219" s="979"/>
      <c r="H219" s="980" t="s">
        <v>16</v>
      </c>
      <c r="I219" s="176">
        <f>TRUNC(SUM(I169:I218),2)</f>
        <v>38447.19</v>
      </c>
      <c r="K219" s="125"/>
    </row>
    <row r="220" spans="1:14" ht="13.5" customHeight="1">
      <c r="A220" s="1503" t="s">
        <v>84</v>
      </c>
      <c r="B220" s="1504"/>
      <c r="C220" s="1505" t="s">
        <v>1165</v>
      </c>
      <c r="D220" s="1504"/>
      <c r="E220" s="1506"/>
      <c r="F220" s="1507" t="str">
        <f>IF(OR(E220&lt;=0)," ",TRUNC(G220,2))</f>
        <v xml:space="preserve"> </v>
      </c>
      <c r="G220" s="1508"/>
      <c r="H220" s="1508" t="str">
        <f>IF(OR(E220&lt;=0)," ",TRUNC((E220*(1+$I$10)),2))</f>
        <v xml:space="preserve"> </v>
      </c>
      <c r="I220" s="1509" t="str">
        <f>IF(OR(E220&lt;=0)," ",TRUNC((H220*F220),2))</f>
        <v xml:space="preserve"> </v>
      </c>
      <c r="J220" s="822" t="s">
        <v>489</v>
      </c>
      <c r="K220" s="125"/>
    </row>
    <row r="221" spans="1:14" ht="19.5" customHeight="1">
      <c r="A221" s="213" t="s">
        <v>1327</v>
      </c>
      <c r="B221" s="1668" t="s">
        <v>532</v>
      </c>
      <c r="C221" s="1637" t="s">
        <v>533</v>
      </c>
      <c r="D221" s="329" t="s">
        <v>57</v>
      </c>
      <c r="E221" s="1576">
        <v>23.45</v>
      </c>
      <c r="F221" s="351">
        <f t="shared" ref="F221:F246" si="31">IF(OR(E221&lt;=0)," ",TRUNC(G221,2))</f>
        <v>8</v>
      </c>
      <c r="G221" s="350">
        <v>8</v>
      </c>
      <c r="H221" s="352">
        <f t="shared" ref="H221:H246" si="32">IF(OR(E221&lt;=0)," ",TRUNC((E221*(1+$I$10)),2))</f>
        <v>28.66</v>
      </c>
      <c r="I221" s="169">
        <f t="shared" ref="I221:I246" si="33">IF(OR(E221&lt;=0)," ",TRUNC((H221*F221),2))</f>
        <v>229.28</v>
      </c>
      <c r="J221" s="562">
        <f>'COMP ELE'!F24</f>
        <v>30.23</v>
      </c>
      <c r="K221" s="125"/>
    </row>
    <row r="222" spans="1:14" ht="30" customHeight="1">
      <c r="A222" s="213" t="s">
        <v>1328</v>
      </c>
      <c r="B222" s="1668">
        <v>98302</v>
      </c>
      <c r="C222" s="147" t="s">
        <v>455</v>
      </c>
      <c r="D222" s="329" t="s">
        <v>57</v>
      </c>
      <c r="E222" s="1576">
        <v>715.64</v>
      </c>
      <c r="F222" s="351">
        <f t="shared" si="31"/>
        <v>3</v>
      </c>
      <c r="G222" s="350">
        <v>3</v>
      </c>
      <c r="H222" s="352">
        <f t="shared" si="32"/>
        <v>874.72</v>
      </c>
      <c r="I222" s="169">
        <f t="shared" si="33"/>
        <v>2624.16</v>
      </c>
      <c r="J222" s="324"/>
      <c r="K222" s="628"/>
      <c r="L222" s="379"/>
      <c r="M222" s="379"/>
      <c r="N222" s="379"/>
    </row>
    <row r="223" spans="1:14" ht="21" customHeight="1">
      <c r="A223" s="213" t="s">
        <v>1329</v>
      </c>
      <c r="B223" s="1668" t="s">
        <v>543</v>
      </c>
      <c r="C223" s="147" t="s">
        <v>1598</v>
      </c>
      <c r="D223" s="329" t="s">
        <v>57</v>
      </c>
      <c r="E223" s="1576">
        <v>69.510000000000005</v>
      </c>
      <c r="F223" s="351">
        <f t="shared" si="31"/>
        <v>1</v>
      </c>
      <c r="G223" s="350">
        <v>1</v>
      </c>
      <c r="H223" s="352">
        <f t="shared" si="32"/>
        <v>84.96</v>
      </c>
      <c r="I223" s="169">
        <f t="shared" si="33"/>
        <v>84.96</v>
      </c>
      <c r="J223" s="861">
        <f>'COMP ELE'!F67</f>
        <v>54.54</v>
      </c>
      <c r="K223" s="628"/>
      <c r="L223" s="379"/>
      <c r="M223" s="379"/>
      <c r="N223" s="379"/>
    </row>
    <row r="224" spans="1:14" ht="21" customHeight="1">
      <c r="A224" s="213" t="s">
        <v>1330</v>
      </c>
      <c r="B224" s="1668" t="s">
        <v>536</v>
      </c>
      <c r="C224" s="147" t="s">
        <v>1599</v>
      </c>
      <c r="D224" s="329" t="s">
        <v>57</v>
      </c>
      <c r="E224" s="1576">
        <v>29.84</v>
      </c>
      <c r="F224" s="351">
        <f t="shared" si="31"/>
        <v>1</v>
      </c>
      <c r="G224" s="350">
        <v>1</v>
      </c>
      <c r="H224" s="352">
        <f t="shared" si="32"/>
        <v>36.47</v>
      </c>
      <c r="I224" s="169">
        <f t="shared" si="33"/>
        <v>36.47</v>
      </c>
      <c r="J224" s="861">
        <f>'COMP ELE'!F51</f>
        <v>30.36</v>
      </c>
      <c r="K224" s="628"/>
      <c r="L224" s="379"/>
      <c r="M224" s="379"/>
      <c r="N224" s="379"/>
    </row>
    <row r="225" spans="1:14" ht="21" customHeight="1">
      <c r="A225" s="213" t="s">
        <v>1331</v>
      </c>
      <c r="B225" s="1668" t="s">
        <v>535</v>
      </c>
      <c r="C225" s="147" t="s">
        <v>2343</v>
      </c>
      <c r="D225" s="329" t="s">
        <v>57</v>
      </c>
      <c r="E225" s="1576">
        <v>33.01</v>
      </c>
      <c r="F225" s="351">
        <f t="shared" si="31"/>
        <v>3</v>
      </c>
      <c r="G225" s="350">
        <v>3</v>
      </c>
      <c r="H225" s="352">
        <f t="shared" si="32"/>
        <v>40.340000000000003</v>
      </c>
      <c r="I225" s="169">
        <f t="shared" si="33"/>
        <v>121.02</v>
      </c>
      <c r="J225" s="861">
        <f>'COMP ELE'!F35</f>
        <v>37.31</v>
      </c>
      <c r="K225" s="628"/>
      <c r="L225" s="379"/>
      <c r="M225" s="379"/>
      <c r="N225" s="379"/>
    </row>
    <row r="226" spans="1:14" ht="17.25" customHeight="1">
      <c r="A226" s="213" t="s">
        <v>1332</v>
      </c>
      <c r="B226" s="1668" t="s">
        <v>545</v>
      </c>
      <c r="C226" s="147" t="s">
        <v>1171</v>
      </c>
      <c r="D226" s="329" t="s">
        <v>57</v>
      </c>
      <c r="E226" s="1576">
        <v>1792.38</v>
      </c>
      <c r="F226" s="351">
        <f t="shared" si="31"/>
        <v>1</v>
      </c>
      <c r="G226" s="350">
        <v>1</v>
      </c>
      <c r="H226" s="352">
        <f t="shared" si="32"/>
        <v>2190.8200000000002</v>
      </c>
      <c r="I226" s="169">
        <f t="shared" si="33"/>
        <v>2190.8200000000002</v>
      </c>
      <c r="J226" s="861">
        <f>'COMP ELE'!F84</f>
        <v>1798.6100000000001</v>
      </c>
      <c r="K226" s="2081"/>
      <c r="L226" s="2081"/>
      <c r="M226" s="379"/>
      <c r="N226" s="379"/>
    </row>
    <row r="227" spans="1:14" ht="34.5" customHeight="1">
      <c r="A227" s="213" t="s">
        <v>1333</v>
      </c>
      <c r="B227" s="1668">
        <v>91941</v>
      </c>
      <c r="C227" s="147" t="s">
        <v>456</v>
      </c>
      <c r="D227" s="329" t="s">
        <v>57</v>
      </c>
      <c r="E227" s="1576">
        <v>8.92</v>
      </c>
      <c r="F227" s="351">
        <f t="shared" si="31"/>
        <v>5</v>
      </c>
      <c r="G227" s="350">
        <v>5</v>
      </c>
      <c r="H227" s="352">
        <f t="shared" si="32"/>
        <v>10.9</v>
      </c>
      <c r="I227" s="169">
        <f t="shared" si="33"/>
        <v>54.5</v>
      </c>
      <c r="J227" s="324"/>
      <c r="K227" s="628"/>
      <c r="L227" s="379"/>
      <c r="M227" s="379"/>
      <c r="N227" s="379"/>
    </row>
    <row r="228" spans="1:14" ht="27.75" customHeight="1">
      <c r="A228" s="213" t="s">
        <v>1334</v>
      </c>
      <c r="B228" s="1668">
        <v>91939</v>
      </c>
      <c r="C228" s="683" t="s">
        <v>182</v>
      </c>
      <c r="D228" s="329" t="s">
        <v>57</v>
      </c>
      <c r="E228" s="1576">
        <v>24.8</v>
      </c>
      <c r="F228" s="351">
        <f t="shared" si="31"/>
        <v>1</v>
      </c>
      <c r="G228" s="350">
        <v>1</v>
      </c>
      <c r="H228" s="352">
        <f t="shared" si="32"/>
        <v>30.31</v>
      </c>
      <c r="I228" s="169">
        <f t="shared" si="33"/>
        <v>30.31</v>
      </c>
      <c r="J228" s="324"/>
      <c r="K228" s="628"/>
      <c r="L228" s="379"/>
      <c r="M228" s="379"/>
      <c r="N228" s="379"/>
    </row>
    <row r="229" spans="1:14" ht="30.75" customHeight="1">
      <c r="A229" s="213" t="s">
        <v>1787</v>
      </c>
      <c r="B229" s="1668" t="s">
        <v>565</v>
      </c>
      <c r="C229" s="147" t="s">
        <v>1608</v>
      </c>
      <c r="D229" s="329" t="s">
        <v>57</v>
      </c>
      <c r="E229" s="1576">
        <v>209.63</v>
      </c>
      <c r="F229" s="351">
        <f t="shared" si="31"/>
        <v>1</v>
      </c>
      <c r="G229" s="350">
        <v>1</v>
      </c>
      <c r="H229" s="352">
        <f t="shared" si="32"/>
        <v>256.23</v>
      </c>
      <c r="I229" s="169">
        <f t="shared" si="33"/>
        <v>256.23</v>
      </c>
      <c r="J229" s="563">
        <f>'COMP ELE'!F228</f>
        <v>232.56</v>
      </c>
      <c r="K229" s="534"/>
    </row>
    <row r="230" spans="1:14" ht="30" customHeight="1">
      <c r="A230" s="213" t="s">
        <v>1335</v>
      </c>
      <c r="B230" s="1668" t="s">
        <v>572</v>
      </c>
      <c r="C230" s="147" t="s">
        <v>1609</v>
      </c>
      <c r="D230" s="329" t="s">
        <v>57</v>
      </c>
      <c r="E230" s="1576">
        <v>44.57</v>
      </c>
      <c r="F230" s="351">
        <f t="shared" si="31"/>
        <v>1</v>
      </c>
      <c r="G230" s="350">
        <v>1</v>
      </c>
      <c r="H230" s="352">
        <f t="shared" si="32"/>
        <v>54.47</v>
      </c>
      <c r="I230" s="169">
        <f t="shared" si="33"/>
        <v>54.47</v>
      </c>
      <c r="J230" s="563">
        <f>'COMP ELE'!F239</f>
        <v>61.63</v>
      </c>
      <c r="K230" s="125"/>
    </row>
    <row r="231" spans="1:14" ht="33" customHeight="1">
      <c r="A231" s="213" t="s">
        <v>1336</v>
      </c>
      <c r="B231" s="1668" t="s">
        <v>574</v>
      </c>
      <c r="C231" s="147" t="s">
        <v>1610</v>
      </c>
      <c r="D231" s="329" t="s">
        <v>57</v>
      </c>
      <c r="E231" s="1576">
        <v>113.76</v>
      </c>
      <c r="F231" s="351">
        <f t="shared" si="31"/>
        <v>2</v>
      </c>
      <c r="G231" s="350">
        <v>2</v>
      </c>
      <c r="H231" s="352">
        <f t="shared" si="32"/>
        <v>139.04</v>
      </c>
      <c r="I231" s="169">
        <f t="shared" si="33"/>
        <v>278.08</v>
      </c>
      <c r="J231" s="563">
        <f>'COMP ELE'!F250</f>
        <v>163.01000000000002</v>
      </c>
      <c r="K231" s="125"/>
    </row>
    <row r="232" spans="1:14" ht="31.5" customHeight="1">
      <c r="A232" s="213" t="s">
        <v>1337</v>
      </c>
      <c r="B232" s="1668">
        <v>98295</v>
      </c>
      <c r="C232" s="147" t="s">
        <v>1618</v>
      </c>
      <c r="D232" s="328" t="s">
        <v>56</v>
      </c>
      <c r="E232" s="1576">
        <v>1.8</v>
      </c>
      <c r="F232" s="351">
        <f t="shared" si="31"/>
        <v>566.5</v>
      </c>
      <c r="G232" s="350">
        <v>566.5</v>
      </c>
      <c r="H232" s="352">
        <f t="shared" si="32"/>
        <v>2.2000000000000002</v>
      </c>
      <c r="I232" s="169">
        <f t="shared" si="33"/>
        <v>1246.3</v>
      </c>
      <c r="J232" s="563"/>
      <c r="K232" s="778" t="s">
        <v>1619</v>
      </c>
    </row>
    <row r="233" spans="1:14" ht="18.75" customHeight="1">
      <c r="A233" s="213" t="s">
        <v>1338</v>
      </c>
      <c r="B233" s="1668" t="s">
        <v>1616</v>
      </c>
      <c r="C233" s="147" t="s">
        <v>1633</v>
      </c>
      <c r="D233" s="328" t="s">
        <v>56</v>
      </c>
      <c r="E233" s="1576">
        <v>8.7899999999999991</v>
      </c>
      <c r="F233" s="351">
        <f t="shared" si="31"/>
        <v>84</v>
      </c>
      <c r="G233" s="350">
        <v>84</v>
      </c>
      <c r="H233" s="352">
        <f t="shared" si="32"/>
        <v>10.74</v>
      </c>
      <c r="I233" s="169">
        <f t="shared" si="33"/>
        <v>902.16</v>
      </c>
      <c r="J233" s="563">
        <f>'COMP ELE'!F261</f>
        <v>9.7199999999999989</v>
      </c>
      <c r="K233" s="777" t="s">
        <v>1634</v>
      </c>
    </row>
    <row r="234" spans="1:14" ht="21" customHeight="1">
      <c r="A234" s="213" t="s">
        <v>1601</v>
      </c>
      <c r="B234" s="1668" t="s">
        <v>556</v>
      </c>
      <c r="C234" s="147" t="s">
        <v>1629</v>
      </c>
      <c r="D234" s="329" t="s">
        <v>57</v>
      </c>
      <c r="E234" s="1576">
        <v>208.93</v>
      </c>
      <c r="F234" s="351">
        <f t="shared" si="31"/>
        <v>3</v>
      </c>
      <c r="G234" s="350">
        <v>3</v>
      </c>
      <c r="H234" s="352">
        <f t="shared" si="32"/>
        <v>255.37</v>
      </c>
      <c r="I234" s="169">
        <f t="shared" si="33"/>
        <v>766.11</v>
      </c>
      <c r="J234" s="563">
        <f>'COMP ELE'!F152</f>
        <v>191.88</v>
      </c>
      <c r="K234" s="125"/>
    </row>
    <row r="235" spans="1:14" ht="22.5" customHeight="1">
      <c r="A235" s="213" t="s">
        <v>1602</v>
      </c>
      <c r="B235" s="1668" t="s">
        <v>559</v>
      </c>
      <c r="C235" s="325" t="s">
        <v>1630</v>
      </c>
      <c r="D235" s="1680" t="s">
        <v>57</v>
      </c>
      <c r="E235" s="1576">
        <v>21.93</v>
      </c>
      <c r="F235" s="351">
        <f t="shared" si="31"/>
        <v>59</v>
      </c>
      <c r="G235" s="350">
        <v>59</v>
      </c>
      <c r="H235" s="352">
        <f t="shared" si="32"/>
        <v>26.8</v>
      </c>
      <c r="I235" s="169">
        <f t="shared" si="33"/>
        <v>1581.2</v>
      </c>
      <c r="J235" s="563">
        <f>'COMP ELE'!F169</f>
        <v>23.17</v>
      </c>
      <c r="K235" s="125"/>
    </row>
    <row r="236" spans="1:14" ht="21.75" customHeight="1">
      <c r="A236" s="213" t="s">
        <v>1603</v>
      </c>
      <c r="B236" s="1668" t="s">
        <v>564</v>
      </c>
      <c r="C236" s="147" t="s">
        <v>1635</v>
      </c>
      <c r="D236" s="329" t="s">
        <v>57</v>
      </c>
      <c r="E236" s="1576">
        <v>5246.36</v>
      </c>
      <c r="F236" s="351">
        <f t="shared" si="31"/>
        <v>1</v>
      </c>
      <c r="G236" s="350">
        <v>1</v>
      </c>
      <c r="H236" s="352">
        <f t="shared" si="32"/>
        <v>6412.62</v>
      </c>
      <c r="I236" s="169">
        <f t="shared" si="33"/>
        <v>6412.62</v>
      </c>
      <c r="J236" s="563">
        <f>'COMP ELE'!F198</f>
        <v>7638.9000000000005</v>
      </c>
      <c r="K236" s="125"/>
    </row>
    <row r="237" spans="1:14" ht="21.75" customHeight="1">
      <c r="A237" s="213" t="s">
        <v>1604</v>
      </c>
      <c r="B237" s="1668">
        <v>98307</v>
      </c>
      <c r="C237" s="147" t="s">
        <v>1627</v>
      </c>
      <c r="D237" s="329" t="s">
        <v>57</v>
      </c>
      <c r="E237" s="1576">
        <v>41.41</v>
      </c>
      <c r="F237" s="351">
        <f t="shared" si="31"/>
        <v>22</v>
      </c>
      <c r="G237" s="350">
        <v>22</v>
      </c>
      <c r="H237" s="352">
        <f t="shared" si="32"/>
        <v>50.61</v>
      </c>
      <c r="I237" s="169">
        <f t="shared" si="33"/>
        <v>1113.42</v>
      </c>
      <c r="J237" s="563"/>
      <c r="K237" s="125"/>
    </row>
    <row r="238" spans="1:14" ht="31.5" customHeight="1">
      <c r="A238" s="213" t="s">
        <v>1605</v>
      </c>
      <c r="B238" s="1668">
        <v>95781</v>
      </c>
      <c r="C238" s="147" t="s">
        <v>1624</v>
      </c>
      <c r="D238" s="329" t="s">
        <v>57</v>
      </c>
      <c r="E238" s="1576">
        <v>30.54</v>
      </c>
      <c r="F238" s="351">
        <f t="shared" si="31"/>
        <v>22</v>
      </c>
      <c r="G238" s="350">
        <v>22</v>
      </c>
      <c r="H238" s="352">
        <f t="shared" si="32"/>
        <v>37.32</v>
      </c>
      <c r="I238" s="169">
        <f t="shared" si="33"/>
        <v>821.04</v>
      </c>
      <c r="J238" s="563"/>
      <c r="K238" s="125"/>
    </row>
    <row r="239" spans="1:14" ht="21.75" customHeight="1">
      <c r="A239" s="213" t="s">
        <v>1606</v>
      </c>
      <c r="B239" s="1668" t="s">
        <v>548</v>
      </c>
      <c r="C239" s="147" t="s">
        <v>546</v>
      </c>
      <c r="D239" s="329" t="s">
        <v>57</v>
      </c>
      <c r="E239" s="1576">
        <v>20.61</v>
      </c>
      <c r="F239" s="351">
        <f t="shared" si="31"/>
        <v>2</v>
      </c>
      <c r="G239" s="350">
        <v>2</v>
      </c>
      <c r="H239" s="352">
        <f t="shared" si="32"/>
        <v>25.19</v>
      </c>
      <c r="I239" s="169">
        <f t="shared" si="33"/>
        <v>50.38</v>
      </c>
      <c r="J239" s="861">
        <f>'COMP ELE'!F101</f>
        <v>24.41</v>
      </c>
      <c r="K239" s="125"/>
    </row>
    <row r="240" spans="1:14" ht="18.75" customHeight="1">
      <c r="A240" s="213" t="s">
        <v>1607</v>
      </c>
      <c r="B240" s="1668" t="s">
        <v>550</v>
      </c>
      <c r="C240" s="147" t="s">
        <v>549</v>
      </c>
      <c r="D240" s="329" t="s">
        <v>57</v>
      </c>
      <c r="E240" s="1576">
        <v>20.88</v>
      </c>
      <c r="F240" s="351">
        <f t="shared" si="31"/>
        <v>3</v>
      </c>
      <c r="G240" s="350">
        <v>3</v>
      </c>
      <c r="H240" s="352">
        <f t="shared" si="32"/>
        <v>25.52</v>
      </c>
      <c r="I240" s="169">
        <f t="shared" si="33"/>
        <v>76.56</v>
      </c>
      <c r="J240" s="861">
        <f>'COMP ELE'!F118</f>
        <v>24.68</v>
      </c>
      <c r="K240" s="125"/>
    </row>
    <row r="241" spans="1:11" ht="34.5" customHeight="1">
      <c r="A241" s="213" t="s">
        <v>1788</v>
      </c>
      <c r="B241" s="1668">
        <v>91846</v>
      </c>
      <c r="C241" s="147" t="s">
        <v>457</v>
      </c>
      <c r="D241" s="328" t="s">
        <v>56</v>
      </c>
      <c r="E241" s="1576">
        <v>8.4600000000000009</v>
      </c>
      <c r="F241" s="351">
        <f t="shared" si="31"/>
        <v>38.6</v>
      </c>
      <c r="G241" s="350">
        <v>38.6</v>
      </c>
      <c r="H241" s="352">
        <f t="shared" si="32"/>
        <v>10.34</v>
      </c>
      <c r="I241" s="169">
        <f t="shared" si="33"/>
        <v>399.12</v>
      </c>
      <c r="J241" s="326"/>
      <c r="K241" s="629"/>
    </row>
    <row r="242" spans="1:11" ht="33.75" customHeight="1" thickBot="1">
      <c r="A242" s="170" t="s">
        <v>1789</v>
      </c>
      <c r="B242" s="1681">
        <v>91844</v>
      </c>
      <c r="C242" s="1646" t="s">
        <v>458</v>
      </c>
      <c r="D242" s="1682" t="s">
        <v>56</v>
      </c>
      <c r="E242" s="1573">
        <v>5.99</v>
      </c>
      <c r="F242" s="988">
        <f t="shared" si="31"/>
        <v>68.5</v>
      </c>
      <c r="G242" s="1647">
        <v>68.5</v>
      </c>
      <c r="H242" s="979">
        <f t="shared" si="32"/>
        <v>7.32</v>
      </c>
      <c r="I242" s="1648">
        <f t="shared" si="33"/>
        <v>501.42</v>
      </c>
      <c r="J242" s="326"/>
      <c r="K242" s="629"/>
    </row>
    <row r="243" spans="1:11" ht="47.25" customHeight="1">
      <c r="A243" s="1606" t="s">
        <v>1790</v>
      </c>
      <c r="B243" s="1683">
        <v>91863</v>
      </c>
      <c r="C243" s="1684" t="s">
        <v>1625</v>
      </c>
      <c r="D243" s="1685" t="s">
        <v>56</v>
      </c>
      <c r="E243" s="1579">
        <v>10.57</v>
      </c>
      <c r="F243" s="1609">
        <f t="shared" si="31"/>
        <v>22.6</v>
      </c>
      <c r="G243" s="1610">
        <v>22.6</v>
      </c>
      <c r="H243" s="1611">
        <f t="shared" si="32"/>
        <v>12.91</v>
      </c>
      <c r="I243" s="1612">
        <f t="shared" si="33"/>
        <v>291.76</v>
      </c>
      <c r="J243" s="326"/>
      <c r="K243" s="782"/>
    </row>
    <row r="244" spans="1:11" ht="44.25" customHeight="1">
      <c r="A244" s="213" t="s">
        <v>1791</v>
      </c>
      <c r="B244" s="1686">
        <v>91841</v>
      </c>
      <c r="C244" s="147" t="s">
        <v>1626</v>
      </c>
      <c r="D244" s="1687" t="s">
        <v>56</v>
      </c>
      <c r="E244" s="1576">
        <v>10.79</v>
      </c>
      <c r="F244" s="351">
        <f t="shared" si="31"/>
        <v>15.5</v>
      </c>
      <c r="G244" s="350">
        <v>15.5</v>
      </c>
      <c r="H244" s="352">
        <f t="shared" si="32"/>
        <v>13.18</v>
      </c>
      <c r="I244" s="169">
        <f t="shared" si="33"/>
        <v>204.29</v>
      </c>
      <c r="J244" s="326"/>
      <c r="K244" s="629"/>
    </row>
    <row r="245" spans="1:11" ht="18" customHeight="1">
      <c r="A245" s="213" t="s">
        <v>1792</v>
      </c>
      <c r="B245" s="318" t="s">
        <v>562</v>
      </c>
      <c r="C245" s="147" t="s">
        <v>1694</v>
      </c>
      <c r="D245" s="180" t="s">
        <v>57</v>
      </c>
      <c r="E245" s="1572">
        <v>3.16</v>
      </c>
      <c r="F245" s="351">
        <f t="shared" si="31"/>
        <v>31</v>
      </c>
      <c r="G245" s="350">
        <v>31</v>
      </c>
      <c r="H245" s="352">
        <f t="shared" si="32"/>
        <v>3.86</v>
      </c>
      <c r="I245" s="169">
        <f t="shared" si="33"/>
        <v>119.66</v>
      </c>
      <c r="J245" s="563">
        <f>'COMP ELE'!F186</f>
        <v>3.92</v>
      </c>
      <c r="K245" s="629"/>
    </row>
    <row r="246" spans="1:11" ht="19.5" customHeight="1">
      <c r="A246" s="213" t="s">
        <v>1793</v>
      </c>
      <c r="B246" s="1668" t="s">
        <v>552</v>
      </c>
      <c r="C246" s="147" t="s">
        <v>1600</v>
      </c>
      <c r="D246" s="329" t="s">
        <v>57</v>
      </c>
      <c r="E246" s="1576">
        <v>605.16</v>
      </c>
      <c r="F246" s="351">
        <f t="shared" si="31"/>
        <v>1</v>
      </c>
      <c r="G246" s="350">
        <v>1</v>
      </c>
      <c r="H246" s="352">
        <f t="shared" si="32"/>
        <v>739.68</v>
      </c>
      <c r="I246" s="169">
        <f t="shared" si="33"/>
        <v>739.68</v>
      </c>
      <c r="J246" s="563">
        <f>'COMP ELE'!F135</f>
        <v>608.28</v>
      </c>
      <c r="K246" s="629" t="s">
        <v>1195</v>
      </c>
    </row>
    <row r="247" spans="1:11" ht="15.75" thickBot="1">
      <c r="A247" s="170"/>
      <c r="B247" s="173"/>
      <c r="C247" s="173"/>
      <c r="D247" s="173"/>
      <c r="E247" s="1580"/>
      <c r="F247" s="124"/>
      <c r="G247" s="174"/>
      <c r="H247" s="175" t="s">
        <v>16</v>
      </c>
      <c r="I247" s="176">
        <f>TRUNC(SUM(I221:I246),2)</f>
        <v>21186.02</v>
      </c>
      <c r="K247" s="125"/>
    </row>
    <row r="248" spans="1:11">
      <c r="A248" s="593">
        <v>12</v>
      </c>
      <c r="B248" s="594"/>
      <c r="C248" s="595" t="s">
        <v>1339</v>
      </c>
      <c r="D248" s="596"/>
      <c r="E248" s="1587"/>
      <c r="F248" s="596" t="str">
        <f>IF(OR(E248&lt;=0)," ",TRUNC(G248,2))</f>
        <v xml:space="preserve"> </v>
      </c>
      <c r="G248" s="598"/>
      <c r="H248" s="598" t="str">
        <f>IF(OR(E248&lt;=0)," ",TRUNC((E248*(1+$I$10)),2))</f>
        <v xml:space="preserve"> </v>
      </c>
      <c r="I248" s="599" t="str">
        <f>IF(OR(E248&lt;=0)," ",TRUNC((H248*F248),2))</f>
        <v xml:space="preserve"> </v>
      </c>
      <c r="J248" s="822" t="s">
        <v>489</v>
      </c>
      <c r="K248" s="125"/>
    </row>
    <row r="249" spans="1:11" ht="18" customHeight="1">
      <c r="A249" s="213" t="s">
        <v>85</v>
      </c>
      <c r="B249" s="254" t="s">
        <v>1614</v>
      </c>
      <c r="C249" s="325" t="s">
        <v>1649</v>
      </c>
      <c r="D249" s="773" t="s">
        <v>57</v>
      </c>
      <c r="E249" s="1576">
        <v>530.86</v>
      </c>
      <c r="F249" s="351">
        <f t="shared" ref="F249:F256" si="34">IF(OR(E249&lt;=0)," ",TRUNC(G249,2))</f>
        <v>1</v>
      </c>
      <c r="G249" s="350">
        <v>1</v>
      </c>
      <c r="H249" s="352">
        <f t="shared" ref="H249:H256" si="35">IF(OR(E249&lt;=0)," ",TRUNC((E249*(1+$I$10)),2))</f>
        <v>648.87</v>
      </c>
      <c r="I249" s="169">
        <f t="shared" ref="I249:I256" si="36">IF(OR(E249&lt;=0)," ",TRUNC((H249*F249),2))</f>
        <v>648.87</v>
      </c>
      <c r="J249" s="861">
        <f>'COMP ELE'!F278</f>
        <v>447.41</v>
      </c>
      <c r="K249" s="125"/>
    </row>
    <row r="250" spans="1:11" ht="33" customHeight="1">
      <c r="A250" s="165" t="s">
        <v>86</v>
      </c>
      <c r="B250" s="785">
        <v>98111</v>
      </c>
      <c r="C250" s="147" t="s">
        <v>1643</v>
      </c>
      <c r="D250" s="773" t="s">
        <v>57</v>
      </c>
      <c r="E250" s="1576">
        <v>49.41</v>
      </c>
      <c r="F250" s="351">
        <f t="shared" si="34"/>
        <v>6</v>
      </c>
      <c r="G250" s="350">
        <v>6</v>
      </c>
      <c r="H250" s="352">
        <f t="shared" si="35"/>
        <v>60.39</v>
      </c>
      <c r="I250" s="169">
        <f t="shared" si="36"/>
        <v>362.34</v>
      </c>
      <c r="K250" s="125"/>
    </row>
    <row r="251" spans="1:11" ht="33" customHeight="1">
      <c r="A251" s="213" t="s">
        <v>87</v>
      </c>
      <c r="B251" s="785">
        <v>96986</v>
      </c>
      <c r="C251" s="147" t="s">
        <v>1644</v>
      </c>
      <c r="D251" s="773" t="s">
        <v>57</v>
      </c>
      <c r="E251" s="1576">
        <v>102.76</v>
      </c>
      <c r="F251" s="351">
        <f t="shared" si="34"/>
        <v>6</v>
      </c>
      <c r="G251" s="350">
        <v>6</v>
      </c>
      <c r="H251" s="352">
        <f t="shared" si="35"/>
        <v>125.6</v>
      </c>
      <c r="I251" s="169">
        <f t="shared" si="36"/>
        <v>753.6</v>
      </c>
      <c r="K251" s="648" t="s">
        <v>2407</v>
      </c>
    </row>
    <row r="252" spans="1:11" ht="28.5">
      <c r="A252" s="165" t="s">
        <v>88</v>
      </c>
      <c r="B252" s="254" t="s">
        <v>1615</v>
      </c>
      <c r="C252" s="258" t="s">
        <v>1651</v>
      </c>
      <c r="D252" s="773" t="s">
        <v>57</v>
      </c>
      <c r="E252" s="1576">
        <v>60.26</v>
      </c>
      <c r="F252" s="351">
        <f t="shared" si="34"/>
        <v>26</v>
      </c>
      <c r="G252" s="350">
        <v>26</v>
      </c>
      <c r="H252" s="352">
        <f t="shared" si="35"/>
        <v>73.650000000000006</v>
      </c>
      <c r="I252" s="169">
        <f t="shared" si="36"/>
        <v>1914.9</v>
      </c>
      <c r="J252" s="861">
        <f>'COMP ELE'!F295</f>
        <v>70.23</v>
      </c>
      <c r="K252" s="125"/>
    </row>
    <row r="253" spans="1:11" ht="34.5" customHeight="1">
      <c r="A253" s="213" t="s">
        <v>89</v>
      </c>
      <c r="B253" s="254">
        <v>96972</v>
      </c>
      <c r="C253" s="147" t="s">
        <v>1645</v>
      </c>
      <c r="D253" s="254" t="s">
        <v>56</v>
      </c>
      <c r="E253" s="1576">
        <v>46.1</v>
      </c>
      <c r="F253" s="351">
        <f t="shared" si="34"/>
        <v>7.69</v>
      </c>
      <c r="G253" s="350">
        <v>7.69</v>
      </c>
      <c r="H253" s="352">
        <f t="shared" si="35"/>
        <v>56.34</v>
      </c>
      <c r="I253" s="169">
        <f t="shared" si="36"/>
        <v>433.25</v>
      </c>
      <c r="K253" s="125"/>
    </row>
    <row r="254" spans="1:11" ht="33" customHeight="1">
      <c r="A254" s="165" t="s">
        <v>187</v>
      </c>
      <c r="B254" s="254">
        <v>96973</v>
      </c>
      <c r="C254" s="147" t="s">
        <v>1646</v>
      </c>
      <c r="D254" s="254" t="s">
        <v>56</v>
      </c>
      <c r="E254" s="1576">
        <v>59.31</v>
      </c>
      <c r="F254" s="351">
        <f t="shared" si="34"/>
        <v>137.93</v>
      </c>
      <c r="G254" s="350">
        <v>137.93</v>
      </c>
      <c r="H254" s="352">
        <f t="shared" si="35"/>
        <v>72.489999999999995</v>
      </c>
      <c r="I254" s="169">
        <f t="shared" si="36"/>
        <v>9998.5400000000009</v>
      </c>
      <c r="K254" s="125"/>
    </row>
    <row r="255" spans="1:11" ht="31.5" customHeight="1">
      <c r="A255" s="213" t="s">
        <v>188</v>
      </c>
      <c r="B255" s="254">
        <v>96974</v>
      </c>
      <c r="C255" s="147" t="s">
        <v>1647</v>
      </c>
      <c r="D255" s="254" t="s">
        <v>56</v>
      </c>
      <c r="E255" s="1576">
        <v>77.06</v>
      </c>
      <c r="F255" s="351">
        <f t="shared" si="34"/>
        <v>107.93</v>
      </c>
      <c r="G255" s="350">
        <v>107.93</v>
      </c>
      <c r="H255" s="352">
        <f t="shared" si="35"/>
        <v>94.19</v>
      </c>
      <c r="I255" s="169">
        <f t="shared" si="36"/>
        <v>10165.92</v>
      </c>
      <c r="K255" s="125"/>
    </row>
    <row r="256" spans="1:11" ht="17.25" customHeight="1">
      <c r="A256" s="213" t="s">
        <v>218</v>
      </c>
      <c r="B256" s="254" t="s">
        <v>1824</v>
      </c>
      <c r="C256" s="741" t="s">
        <v>1656</v>
      </c>
      <c r="D256" s="773" t="s">
        <v>57</v>
      </c>
      <c r="E256" s="1581">
        <v>32.85</v>
      </c>
      <c r="F256" s="167">
        <f t="shared" si="34"/>
        <v>28</v>
      </c>
      <c r="G256" s="319">
        <v>28</v>
      </c>
      <c r="H256" s="168">
        <f t="shared" si="35"/>
        <v>40.15</v>
      </c>
      <c r="I256" s="169">
        <f t="shared" si="36"/>
        <v>1124.2</v>
      </c>
      <c r="J256" s="861">
        <f>'COMP ELE'!F312</f>
        <v>34.409999999999997</v>
      </c>
      <c r="K256" s="125"/>
    </row>
    <row r="257" spans="1:11" ht="15.75" thickBot="1">
      <c r="A257" s="698"/>
      <c r="B257" s="177"/>
      <c r="C257" s="177"/>
      <c r="D257" s="177"/>
      <c r="E257" s="1582"/>
      <c r="F257" s="178"/>
      <c r="G257" s="179"/>
      <c r="H257" s="215" t="s">
        <v>16</v>
      </c>
      <c r="I257" s="176">
        <f>TRUNC(SUM(I249:I256),2)</f>
        <v>25401.62</v>
      </c>
      <c r="K257" s="125"/>
    </row>
    <row r="258" spans="1:11">
      <c r="A258" s="593">
        <v>13</v>
      </c>
      <c r="B258" s="594"/>
      <c r="C258" s="595" t="s">
        <v>82</v>
      </c>
      <c r="D258" s="596"/>
      <c r="E258" s="1587"/>
      <c r="F258" s="596" t="str">
        <f>IF(OR(E258&lt;=0)," ",TRUNC(G258,2))</f>
        <v xml:space="preserve"> </v>
      </c>
      <c r="G258" s="598"/>
      <c r="H258" s="598" t="str">
        <f>IF(OR(E258&lt;=0)," ",TRUNC((E258*(1+$I$10)),2))</f>
        <v xml:space="preserve"> </v>
      </c>
      <c r="I258" s="599" t="str">
        <f>IF(OR(E258&lt;=0)," ",TRUNC((H258*F258),2))</f>
        <v xml:space="preserve"> </v>
      </c>
      <c r="J258" s="888" t="s">
        <v>1413</v>
      </c>
      <c r="K258" s="125"/>
    </row>
    <row r="259" spans="1:11" ht="35.25" customHeight="1">
      <c r="A259" s="213" t="s">
        <v>90</v>
      </c>
      <c r="B259" s="318">
        <v>89408</v>
      </c>
      <c r="C259" s="325" t="s">
        <v>267</v>
      </c>
      <c r="D259" s="330" t="s">
        <v>57</v>
      </c>
      <c r="E259" s="1576">
        <v>5.86</v>
      </c>
      <c r="F259" s="351">
        <f t="shared" ref="F259:F287" si="37">IF(OR(E259&lt;=0)," ",TRUNC(G259,2))</f>
        <v>20</v>
      </c>
      <c r="G259" s="1786">
        <v>20</v>
      </c>
      <c r="H259" s="1688">
        <f t="shared" ref="H259:H287" si="38">IF(OR(E259&lt;=0)," ",TRUNC((E259*(1+$I$10)),2))</f>
        <v>7.16</v>
      </c>
      <c r="I259" s="169">
        <f t="shared" ref="I259:I287" si="39">IF(OR(E259&lt;=0)," ",TRUNC((H259*F259),2))</f>
        <v>143.19999999999999</v>
      </c>
      <c r="J259" s="822" t="s">
        <v>489</v>
      </c>
      <c r="K259" s="125"/>
    </row>
    <row r="260" spans="1:11" ht="30.75" customHeight="1">
      <c r="A260" s="1636" t="s">
        <v>91</v>
      </c>
      <c r="B260" s="318" t="s">
        <v>491</v>
      </c>
      <c r="C260" s="1788" t="s">
        <v>268</v>
      </c>
      <c r="D260" s="180" t="s">
        <v>57</v>
      </c>
      <c r="E260" s="1576">
        <v>12.37</v>
      </c>
      <c r="F260" s="351">
        <f t="shared" si="37"/>
        <v>5</v>
      </c>
      <c r="G260" s="1789">
        <v>5</v>
      </c>
      <c r="H260" s="1688">
        <f t="shared" si="38"/>
        <v>15.11</v>
      </c>
      <c r="I260" s="169">
        <f t="shared" si="39"/>
        <v>75.55</v>
      </c>
      <c r="J260" s="538">
        <f>'COMP HIDR'!F27</f>
        <v>14.770000000000001</v>
      </c>
      <c r="K260" s="125"/>
    </row>
    <row r="261" spans="1:11" ht="29.25" customHeight="1">
      <c r="A261" s="213" t="s">
        <v>92</v>
      </c>
      <c r="B261" s="318" t="s">
        <v>500</v>
      </c>
      <c r="C261" s="1788" t="s">
        <v>1894</v>
      </c>
      <c r="D261" s="180" t="s">
        <v>57</v>
      </c>
      <c r="E261" s="1576">
        <v>10.71</v>
      </c>
      <c r="F261" s="1588">
        <f t="shared" si="37"/>
        <v>4</v>
      </c>
      <c r="G261" s="1786">
        <v>4</v>
      </c>
      <c r="H261" s="1688">
        <f t="shared" si="38"/>
        <v>13.09</v>
      </c>
      <c r="I261" s="1511">
        <f t="shared" si="39"/>
        <v>52.36</v>
      </c>
      <c r="J261" s="887">
        <f>'COMP HIDR'!F41</f>
        <v>12.629999999999999</v>
      </c>
      <c r="K261" s="125"/>
    </row>
    <row r="262" spans="1:11" ht="21.75" customHeight="1">
      <c r="A262" s="1636" t="s">
        <v>189</v>
      </c>
      <c r="B262" s="318" t="s">
        <v>502</v>
      </c>
      <c r="C262" s="325" t="s">
        <v>1876</v>
      </c>
      <c r="D262" s="180" t="s">
        <v>57</v>
      </c>
      <c r="E262" s="1576">
        <v>97.19</v>
      </c>
      <c r="F262" s="1588">
        <f t="shared" si="37"/>
        <v>9</v>
      </c>
      <c r="G262" s="1786">
        <v>9</v>
      </c>
      <c r="H262" s="1688">
        <f t="shared" si="38"/>
        <v>118.79</v>
      </c>
      <c r="I262" s="1511">
        <f t="shared" si="39"/>
        <v>1069.1099999999999</v>
      </c>
      <c r="J262" s="887">
        <f>'COMP HIDR'!F55</f>
        <v>122.42999999999999</v>
      </c>
      <c r="K262" s="125"/>
    </row>
    <row r="263" spans="1:11" ht="33" customHeight="1">
      <c r="A263" s="213" t="s">
        <v>628</v>
      </c>
      <c r="B263" s="318" t="s">
        <v>503</v>
      </c>
      <c r="C263" s="325" t="s">
        <v>1890</v>
      </c>
      <c r="D263" s="180" t="s">
        <v>57</v>
      </c>
      <c r="E263" s="1576">
        <v>42.61</v>
      </c>
      <c r="F263" s="351">
        <f t="shared" si="37"/>
        <v>1</v>
      </c>
      <c r="G263" s="1786">
        <v>1</v>
      </c>
      <c r="H263" s="1688">
        <f t="shared" si="38"/>
        <v>52.08</v>
      </c>
      <c r="I263" s="169">
        <f t="shared" si="39"/>
        <v>52.08</v>
      </c>
      <c r="J263" s="887">
        <f>'COMP HIDR'!F68</f>
        <v>48.75</v>
      </c>
      <c r="K263" s="125"/>
    </row>
    <row r="264" spans="1:11" ht="34.5" customHeight="1">
      <c r="A264" s="1636" t="s">
        <v>629</v>
      </c>
      <c r="B264" s="318">
        <v>89378</v>
      </c>
      <c r="C264" s="147" t="s">
        <v>1874</v>
      </c>
      <c r="D264" s="180" t="s">
        <v>57</v>
      </c>
      <c r="E264" s="1576">
        <v>6.38</v>
      </c>
      <c r="F264" s="351">
        <f t="shared" si="37"/>
        <v>5</v>
      </c>
      <c r="G264" s="1789">
        <v>5</v>
      </c>
      <c r="H264" s="1688">
        <f t="shared" si="38"/>
        <v>7.79</v>
      </c>
      <c r="I264" s="169">
        <f t="shared" si="39"/>
        <v>38.950000000000003</v>
      </c>
      <c r="J264" s="766"/>
      <c r="K264" s="125"/>
    </row>
    <row r="265" spans="1:11" ht="34.5" customHeight="1">
      <c r="A265" s="213" t="s">
        <v>630</v>
      </c>
      <c r="B265" s="318">
        <v>89575</v>
      </c>
      <c r="C265" s="147" t="s">
        <v>1875</v>
      </c>
      <c r="D265" s="180" t="s">
        <v>57</v>
      </c>
      <c r="E265" s="1576">
        <v>12.04</v>
      </c>
      <c r="F265" s="351">
        <f t="shared" si="37"/>
        <v>2</v>
      </c>
      <c r="G265" s="1786">
        <v>2</v>
      </c>
      <c r="H265" s="1688">
        <f t="shared" si="38"/>
        <v>14.71</v>
      </c>
      <c r="I265" s="169">
        <f t="shared" si="39"/>
        <v>29.42</v>
      </c>
      <c r="J265" s="865"/>
      <c r="K265" s="125"/>
    </row>
    <row r="266" spans="1:11" ht="32.25" customHeight="1">
      <c r="A266" s="1636" t="s">
        <v>631</v>
      </c>
      <c r="B266" s="318">
        <v>89356</v>
      </c>
      <c r="C266" s="325" t="s">
        <v>269</v>
      </c>
      <c r="D266" s="1787" t="s">
        <v>56</v>
      </c>
      <c r="E266" s="1576">
        <v>20.25</v>
      </c>
      <c r="F266" s="351">
        <f t="shared" si="37"/>
        <v>55.66</v>
      </c>
      <c r="G266" s="1790">
        <v>55.66</v>
      </c>
      <c r="H266" s="1688">
        <f t="shared" si="38"/>
        <v>24.75</v>
      </c>
      <c r="I266" s="169">
        <f t="shared" si="39"/>
        <v>1377.58</v>
      </c>
      <c r="J266" s="865"/>
      <c r="K266" s="125"/>
    </row>
    <row r="267" spans="1:11" ht="18" customHeight="1" thickBot="1">
      <c r="A267" s="170" t="s">
        <v>632</v>
      </c>
      <c r="B267" s="1681" t="s">
        <v>505</v>
      </c>
      <c r="C267" s="712" t="s">
        <v>270</v>
      </c>
      <c r="D267" s="1690" t="s">
        <v>56</v>
      </c>
      <c r="E267" s="1573">
        <v>15.59</v>
      </c>
      <c r="F267" s="988">
        <f t="shared" si="37"/>
        <v>14.87</v>
      </c>
      <c r="G267" s="1691">
        <v>14.87</v>
      </c>
      <c r="H267" s="979">
        <f t="shared" si="38"/>
        <v>19.05</v>
      </c>
      <c r="I267" s="1648">
        <f t="shared" si="39"/>
        <v>283.27</v>
      </c>
      <c r="J267" s="887">
        <f>'COMP HIDR'!F80</f>
        <v>19.700000000000003</v>
      </c>
      <c r="K267" s="125"/>
    </row>
    <row r="268" spans="1:11" ht="33.75" customHeight="1">
      <c r="A268" s="1693" t="s">
        <v>633</v>
      </c>
      <c r="B268" s="1694">
        <v>99635</v>
      </c>
      <c r="C268" s="1695" t="s">
        <v>167</v>
      </c>
      <c r="D268" s="1665" t="s">
        <v>57</v>
      </c>
      <c r="E268" s="1579">
        <v>216</v>
      </c>
      <c r="F268" s="1632">
        <f t="shared" si="37"/>
        <v>2</v>
      </c>
      <c r="G268" s="1696">
        <v>2</v>
      </c>
      <c r="H268" s="1697">
        <f t="shared" si="38"/>
        <v>264.01</v>
      </c>
      <c r="I268" s="1635">
        <f t="shared" si="39"/>
        <v>528.02</v>
      </c>
      <c r="J268" s="865"/>
      <c r="K268" s="125"/>
    </row>
    <row r="269" spans="1:11" ht="45.75" customHeight="1">
      <c r="A269" s="213" t="s">
        <v>634</v>
      </c>
      <c r="B269" s="318">
        <v>89987</v>
      </c>
      <c r="C269" s="325" t="s">
        <v>271</v>
      </c>
      <c r="D269" s="180" t="s">
        <v>57</v>
      </c>
      <c r="E269" s="1576">
        <v>84.7</v>
      </c>
      <c r="F269" s="351">
        <f t="shared" si="37"/>
        <v>3</v>
      </c>
      <c r="G269" s="1790">
        <v>3</v>
      </c>
      <c r="H269" s="1688">
        <f t="shared" si="38"/>
        <v>103.52</v>
      </c>
      <c r="I269" s="169">
        <f t="shared" si="39"/>
        <v>310.56</v>
      </c>
      <c r="J269" s="865"/>
      <c r="K269" s="125"/>
    </row>
    <row r="270" spans="1:11" ht="35.25" customHeight="1">
      <c r="A270" s="1636" t="s">
        <v>635</v>
      </c>
      <c r="B270" s="318">
        <v>90371</v>
      </c>
      <c r="C270" s="325" t="s">
        <v>272</v>
      </c>
      <c r="D270" s="180" t="s">
        <v>57</v>
      </c>
      <c r="E270" s="1791">
        <v>22.09</v>
      </c>
      <c r="F270" s="1588">
        <f t="shared" si="37"/>
        <v>1</v>
      </c>
      <c r="G270" s="1786">
        <v>1</v>
      </c>
      <c r="H270" s="1688">
        <f t="shared" si="38"/>
        <v>27</v>
      </c>
      <c r="I270" s="1511">
        <f t="shared" si="39"/>
        <v>27</v>
      </c>
      <c r="J270" s="865"/>
      <c r="K270" s="125"/>
    </row>
    <row r="271" spans="1:11" ht="55.5" customHeight="1">
      <c r="A271" s="213" t="s">
        <v>636</v>
      </c>
      <c r="B271" s="318">
        <v>94794</v>
      </c>
      <c r="C271" s="147" t="s">
        <v>1903</v>
      </c>
      <c r="D271" s="180" t="s">
        <v>57</v>
      </c>
      <c r="E271" s="1576">
        <v>150</v>
      </c>
      <c r="F271" s="351">
        <f t="shared" si="37"/>
        <v>2</v>
      </c>
      <c r="G271" s="1786">
        <v>2</v>
      </c>
      <c r="H271" s="1688">
        <f t="shared" si="38"/>
        <v>183.34</v>
      </c>
      <c r="I271" s="169">
        <f t="shared" si="39"/>
        <v>366.68</v>
      </c>
      <c r="J271" s="865"/>
      <c r="K271" s="125"/>
    </row>
    <row r="272" spans="1:11" ht="48" customHeight="1">
      <c r="A272" s="1636" t="s">
        <v>637</v>
      </c>
      <c r="B272" s="318">
        <v>94497</v>
      </c>
      <c r="C272" s="147" t="s">
        <v>1902</v>
      </c>
      <c r="D272" s="180" t="s">
        <v>57</v>
      </c>
      <c r="E272" s="1578">
        <v>95.13</v>
      </c>
      <c r="F272" s="351">
        <f t="shared" si="37"/>
        <v>2</v>
      </c>
      <c r="G272" s="1786">
        <v>2</v>
      </c>
      <c r="H272" s="1688">
        <f t="shared" si="38"/>
        <v>116.27</v>
      </c>
      <c r="I272" s="169">
        <f t="shared" si="39"/>
        <v>232.54</v>
      </c>
      <c r="J272" s="865"/>
      <c r="K272" s="125"/>
    </row>
    <row r="273" spans="1:11" ht="47.25" customHeight="1">
      <c r="A273" s="213" t="s">
        <v>638</v>
      </c>
      <c r="B273" s="318">
        <v>89385</v>
      </c>
      <c r="C273" s="325" t="s">
        <v>273</v>
      </c>
      <c r="D273" s="180" t="s">
        <v>57</v>
      </c>
      <c r="E273" s="1578">
        <v>7.44</v>
      </c>
      <c r="F273" s="351">
        <f t="shared" si="37"/>
        <v>2</v>
      </c>
      <c r="G273" s="1786">
        <v>2</v>
      </c>
      <c r="H273" s="1688">
        <f t="shared" si="38"/>
        <v>9.09</v>
      </c>
      <c r="I273" s="169">
        <f t="shared" si="39"/>
        <v>18.18</v>
      </c>
      <c r="J273" s="537"/>
      <c r="K273" s="125"/>
    </row>
    <row r="274" spans="1:11" ht="48" customHeight="1">
      <c r="A274" s="1636" t="s">
        <v>639</v>
      </c>
      <c r="B274" s="318">
        <v>94703</v>
      </c>
      <c r="C274" s="325" t="s">
        <v>667</v>
      </c>
      <c r="D274" s="180" t="s">
        <v>57</v>
      </c>
      <c r="E274" s="1578">
        <v>21.66</v>
      </c>
      <c r="F274" s="351">
        <f t="shared" si="37"/>
        <v>1</v>
      </c>
      <c r="G274" s="1786">
        <v>1</v>
      </c>
      <c r="H274" s="1688">
        <f t="shared" si="38"/>
        <v>26.47</v>
      </c>
      <c r="I274" s="169">
        <f t="shared" si="39"/>
        <v>26.47</v>
      </c>
      <c r="J274" s="537"/>
      <c r="K274" s="125"/>
    </row>
    <row r="275" spans="1:11" ht="57.75" customHeight="1">
      <c r="A275" s="213" t="s">
        <v>640</v>
      </c>
      <c r="B275" s="318">
        <v>94706</v>
      </c>
      <c r="C275" s="325" t="s">
        <v>274</v>
      </c>
      <c r="D275" s="180" t="s">
        <v>57</v>
      </c>
      <c r="E275" s="1578">
        <v>46.48</v>
      </c>
      <c r="F275" s="351">
        <f t="shared" si="37"/>
        <v>3</v>
      </c>
      <c r="G275" s="1786">
        <v>3</v>
      </c>
      <c r="H275" s="1688">
        <f t="shared" si="38"/>
        <v>56.81</v>
      </c>
      <c r="I275" s="169">
        <f t="shared" si="39"/>
        <v>170.43</v>
      </c>
      <c r="J275" s="537"/>
      <c r="K275" s="125"/>
    </row>
    <row r="276" spans="1:11" ht="48" customHeight="1">
      <c r="A276" s="1636" t="s">
        <v>641</v>
      </c>
      <c r="B276" s="318">
        <v>89383</v>
      </c>
      <c r="C276" s="325" t="s">
        <v>275</v>
      </c>
      <c r="D276" s="180" t="s">
        <v>57</v>
      </c>
      <c r="E276" s="1578">
        <v>6.5</v>
      </c>
      <c r="F276" s="351">
        <f t="shared" si="37"/>
        <v>3</v>
      </c>
      <c r="G276" s="1786">
        <v>3</v>
      </c>
      <c r="H276" s="1688">
        <f t="shared" si="38"/>
        <v>7.94</v>
      </c>
      <c r="I276" s="169">
        <f t="shared" si="39"/>
        <v>23.82</v>
      </c>
      <c r="J276" s="537"/>
      <c r="K276" s="125"/>
    </row>
    <row r="277" spans="1:11" ht="31.5" customHeight="1">
      <c r="A277" s="213" t="s">
        <v>642</v>
      </c>
      <c r="B277" s="318" t="s">
        <v>506</v>
      </c>
      <c r="C277" s="1792" t="s">
        <v>276</v>
      </c>
      <c r="D277" s="180" t="s">
        <v>57</v>
      </c>
      <c r="E277" s="1578">
        <v>9.93</v>
      </c>
      <c r="F277" s="351">
        <f t="shared" si="37"/>
        <v>10</v>
      </c>
      <c r="G277" s="1786">
        <v>10</v>
      </c>
      <c r="H277" s="1688">
        <f t="shared" si="38"/>
        <v>12.13</v>
      </c>
      <c r="I277" s="169">
        <f t="shared" si="39"/>
        <v>121.3</v>
      </c>
      <c r="J277" s="887">
        <f>'COMP HIDR'!F94</f>
        <v>11.81</v>
      </c>
      <c r="K277" s="125"/>
    </row>
    <row r="278" spans="1:11" ht="36.75" customHeight="1">
      <c r="A278" s="1636" t="s">
        <v>643</v>
      </c>
      <c r="B278" s="318" t="s">
        <v>508</v>
      </c>
      <c r="C278" s="1792" t="s">
        <v>277</v>
      </c>
      <c r="D278" s="180" t="s">
        <v>57</v>
      </c>
      <c r="E278" s="1578">
        <v>8.92</v>
      </c>
      <c r="F278" s="351">
        <f t="shared" si="37"/>
        <v>3</v>
      </c>
      <c r="G278" s="1786">
        <v>3</v>
      </c>
      <c r="H278" s="1688">
        <f t="shared" si="38"/>
        <v>10.9</v>
      </c>
      <c r="I278" s="169">
        <f t="shared" si="39"/>
        <v>32.700000000000003</v>
      </c>
      <c r="J278" s="887">
        <f>'COMP HIDR'!F107</f>
        <v>10.71</v>
      </c>
      <c r="K278" s="125"/>
    </row>
    <row r="279" spans="1:11" ht="36.75" customHeight="1">
      <c r="A279" s="213" t="s">
        <v>644</v>
      </c>
      <c r="B279" s="318">
        <v>89395</v>
      </c>
      <c r="C279" s="325" t="s">
        <v>278</v>
      </c>
      <c r="D279" s="180" t="s">
        <v>57</v>
      </c>
      <c r="E279" s="1578">
        <v>11.76</v>
      </c>
      <c r="F279" s="351">
        <f t="shared" si="37"/>
        <v>8</v>
      </c>
      <c r="G279" s="1786">
        <v>8</v>
      </c>
      <c r="H279" s="1688">
        <f t="shared" si="38"/>
        <v>14.37</v>
      </c>
      <c r="I279" s="169">
        <f t="shared" si="39"/>
        <v>114.96</v>
      </c>
      <c r="J279" s="537"/>
      <c r="K279" s="125"/>
    </row>
    <row r="280" spans="1:11" ht="31.5" customHeight="1">
      <c r="A280" s="1636" t="s">
        <v>645</v>
      </c>
      <c r="B280" s="318" t="s">
        <v>1904</v>
      </c>
      <c r="C280" s="325" t="s">
        <v>280</v>
      </c>
      <c r="D280" s="180" t="s">
        <v>57</v>
      </c>
      <c r="E280" s="1578">
        <v>26.62</v>
      </c>
      <c r="F280" s="351">
        <f t="shared" si="37"/>
        <v>2</v>
      </c>
      <c r="G280" s="1786">
        <v>2</v>
      </c>
      <c r="H280" s="1688">
        <f t="shared" si="38"/>
        <v>32.53</v>
      </c>
      <c r="I280" s="169">
        <f t="shared" si="39"/>
        <v>65.06</v>
      </c>
      <c r="J280" s="887">
        <f>'COMP HIDR'!F121</f>
        <v>31.25</v>
      </c>
      <c r="K280" s="125"/>
    </row>
    <row r="281" spans="1:11" ht="25.5" customHeight="1">
      <c r="A281" s="213" t="s">
        <v>646</v>
      </c>
      <c r="B281" s="318" t="s">
        <v>511</v>
      </c>
      <c r="C281" s="325" t="s">
        <v>279</v>
      </c>
      <c r="D281" s="180" t="s">
        <v>57</v>
      </c>
      <c r="E281" s="1578">
        <v>27.77</v>
      </c>
      <c r="F281" s="351">
        <f t="shared" si="37"/>
        <v>5</v>
      </c>
      <c r="G281" s="1786">
        <v>5</v>
      </c>
      <c r="H281" s="1688">
        <f t="shared" si="38"/>
        <v>33.94</v>
      </c>
      <c r="I281" s="169">
        <f t="shared" si="39"/>
        <v>169.7</v>
      </c>
      <c r="J281" s="887">
        <f>'COMP HIDR'!F135</f>
        <v>32.71</v>
      </c>
      <c r="K281" s="884"/>
    </row>
    <row r="282" spans="1:11" ht="45" customHeight="1">
      <c r="A282" s="1636" t="s">
        <v>1896</v>
      </c>
      <c r="B282" s="318">
        <v>89366</v>
      </c>
      <c r="C282" s="325" t="s">
        <v>281</v>
      </c>
      <c r="D282" s="180" t="s">
        <v>57</v>
      </c>
      <c r="E282" s="1578">
        <v>16.54</v>
      </c>
      <c r="F282" s="351">
        <f t="shared" si="37"/>
        <v>1</v>
      </c>
      <c r="G282" s="1786">
        <v>1</v>
      </c>
      <c r="H282" s="1688">
        <f t="shared" si="38"/>
        <v>20.21</v>
      </c>
      <c r="I282" s="169">
        <f t="shared" si="39"/>
        <v>20.21</v>
      </c>
      <c r="J282" s="865"/>
      <c r="K282" s="125"/>
    </row>
    <row r="283" spans="1:11" ht="31.5" customHeight="1">
      <c r="A283" s="213" t="s">
        <v>1897</v>
      </c>
      <c r="B283" s="318">
        <v>86884</v>
      </c>
      <c r="C283" s="325" t="s">
        <v>285</v>
      </c>
      <c r="D283" s="180" t="s">
        <v>57</v>
      </c>
      <c r="E283" s="1578">
        <v>9.3000000000000007</v>
      </c>
      <c r="F283" s="351">
        <f t="shared" si="37"/>
        <v>6</v>
      </c>
      <c r="G283" s="1786">
        <v>6</v>
      </c>
      <c r="H283" s="1688">
        <f t="shared" si="38"/>
        <v>11.36</v>
      </c>
      <c r="I283" s="169">
        <f t="shared" si="39"/>
        <v>68.16</v>
      </c>
      <c r="J283" s="865"/>
      <c r="K283" s="125"/>
    </row>
    <row r="284" spans="1:11" ht="33" customHeight="1" thickBot="1">
      <c r="A284" s="170" t="s">
        <v>1898</v>
      </c>
      <c r="B284" s="1681" t="s">
        <v>514</v>
      </c>
      <c r="C284" s="712" t="s">
        <v>1887</v>
      </c>
      <c r="D284" s="1671" t="s">
        <v>57</v>
      </c>
      <c r="E284" s="1573">
        <v>936.99</v>
      </c>
      <c r="F284" s="988">
        <f t="shared" si="37"/>
        <v>4</v>
      </c>
      <c r="G284" s="1691">
        <v>4</v>
      </c>
      <c r="H284" s="1692">
        <f t="shared" si="38"/>
        <v>1145.28</v>
      </c>
      <c r="I284" s="1648">
        <f t="shared" si="39"/>
        <v>4581.12</v>
      </c>
      <c r="J284" s="887">
        <f>'COMP HIDR'!F148</f>
        <v>1164.76</v>
      </c>
      <c r="K284" s="125"/>
    </row>
    <row r="285" spans="1:11" ht="24" customHeight="1">
      <c r="A285" s="1606" t="s">
        <v>1899</v>
      </c>
      <c r="B285" s="1694" t="s">
        <v>1905</v>
      </c>
      <c r="C285" s="1695" t="s">
        <v>1909</v>
      </c>
      <c r="D285" s="1665" t="s">
        <v>57</v>
      </c>
      <c r="E285" s="1579">
        <v>21.55</v>
      </c>
      <c r="F285" s="1609">
        <f t="shared" si="37"/>
        <v>2</v>
      </c>
      <c r="G285" s="1696">
        <v>2</v>
      </c>
      <c r="H285" s="1611">
        <f t="shared" si="38"/>
        <v>26.34</v>
      </c>
      <c r="I285" s="1612">
        <f t="shared" si="39"/>
        <v>52.68</v>
      </c>
      <c r="J285" s="887">
        <f>'COMP HIDR'!F159</f>
        <v>25.75</v>
      </c>
      <c r="K285" s="125"/>
    </row>
    <row r="286" spans="1:11" ht="45.75" customHeight="1">
      <c r="A286" s="1636" t="s">
        <v>1900</v>
      </c>
      <c r="B286" s="318">
        <v>86931</v>
      </c>
      <c r="C286" s="147" t="s">
        <v>1914</v>
      </c>
      <c r="D286" s="180" t="s">
        <v>57</v>
      </c>
      <c r="E286" s="1578">
        <v>467.17</v>
      </c>
      <c r="F286" s="351">
        <f t="shared" si="37"/>
        <v>4</v>
      </c>
      <c r="G286" s="1786">
        <v>4</v>
      </c>
      <c r="H286" s="1688">
        <f t="shared" si="38"/>
        <v>571.02</v>
      </c>
      <c r="I286" s="169">
        <f t="shared" si="39"/>
        <v>2284.08</v>
      </c>
      <c r="J286" s="865"/>
      <c r="K286" s="125"/>
    </row>
    <row r="287" spans="1:11" ht="48.75" customHeight="1">
      <c r="A287" s="213" t="s">
        <v>1901</v>
      </c>
      <c r="B287" s="889">
        <v>95472</v>
      </c>
      <c r="C287" s="147" t="s">
        <v>1913</v>
      </c>
      <c r="D287" s="180" t="s">
        <v>57</v>
      </c>
      <c r="E287" s="1578">
        <v>720.14</v>
      </c>
      <c r="F287" s="351">
        <f t="shared" si="37"/>
        <v>2</v>
      </c>
      <c r="G287" s="1786">
        <v>2</v>
      </c>
      <c r="H287" s="1688">
        <f t="shared" si="38"/>
        <v>880.22</v>
      </c>
      <c r="I287" s="169">
        <f t="shared" si="39"/>
        <v>1760.44</v>
      </c>
      <c r="J287" s="537"/>
      <c r="K287" s="125"/>
    </row>
    <row r="288" spans="1:11" ht="15.75" thickBot="1">
      <c r="A288" s="170"/>
      <c r="B288" s="173"/>
      <c r="C288" s="340"/>
      <c r="D288" s="173"/>
      <c r="E288" s="1580"/>
      <c r="F288" s="124"/>
      <c r="G288" s="341"/>
      <c r="H288" s="175" t="s">
        <v>16</v>
      </c>
      <c r="I288" s="176">
        <f>TRUNC(SUM(I259:I287),2)</f>
        <v>14095.63</v>
      </c>
      <c r="J288" s="537"/>
      <c r="K288" s="125"/>
    </row>
    <row r="289" spans="1:11">
      <c r="A289" s="593">
        <v>14</v>
      </c>
      <c r="B289" s="594"/>
      <c r="C289" s="595" t="s">
        <v>1878</v>
      </c>
      <c r="D289" s="596"/>
      <c r="E289" s="1587"/>
      <c r="F289" s="596" t="str">
        <f>IF(OR(E289&lt;=0)," ",TRUNC(G289,2))</f>
        <v xml:space="preserve"> </v>
      </c>
      <c r="G289" s="598"/>
      <c r="H289" s="598" t="str">
        <f>IF(OR(E289&lt;=0)," ",TRUNC((E289*(1+$I$10)),2))</f>
        <v xml:space="preserve"> </v>
      </c>
      <c r="I289" s="599" t="str">
        <f>IF(OR(E289&lt;=0)," ",TRUNC((H289*F289),2))</f>
        <v xml:space="preserve"> </v>
      </c>
      <c r="J289" s="476" t="s">
        <v>1409</v>
      </c>
      <c r="K289" s="125"/>
    </row>
    <row r="290" spans="1:11">
      <c r="A290" s="213" t="s">
        <v>93</v>
      </c>
      <c r="B290" s="318" t="s">
        <v>1912</v>
      </c>
      <c r="C290" s="258" t="s">
        <v>1906</v>
      </c>
      <c r="D290" s="164" t="s">
        <v>57</v>
      </c>
      <c r="E290" s="1581">
        <v>113.08</v>
      </c>
      <c r="F290" s="167">
        <f t="shared" ref="F290:F304" si="40">IF(OR(E290&lt;=0)," ",TRUNC(G290,2))</f>
        <v>2</v>
      </c>
      <c r="G290" s="319">
        <v>2</v>
      </c>
      <c r="H290" s="331">
        <f t="shared" ref="H290:H304" si="41">IF(OR(E290&lt;=0)," ",TRUNC((E290*(1+$I$10)),2))</f>
        <v>138.21</v>
      </c>
      <c r="I290" s="169">
        <f t="shared" ref="I290:I304" si="42">IF(OR(E290&lt;=0)," ",TRUNC((H290*F290),2))</f>
        <v>276.42</v>
      </c>
      <c r="J290" s="887">
        <f>'COMP HIDR'!F171</f>
        <v>128.15</v>
      </c>
      <c r="K290" s="125"/>
    </row>
    <row r="291" spans="1:11" ht="61.5" customHeight="1">
      <c r="A291" s="213" t="s">
        <v>960</v>
      </c>
      <c r="B291" s="254">
        <v>86943</v>
      </c>
      <c r="C291" s="886" t="s">
        <v>1915</v>
      </c>
      <c r="D291" s="164" t="s">
        <v>57</v>
      </c>
      <c r="E291" s="1581">
        <v>238.48</v>
      </c>
      <c r="F291" s="167">
        <f t="shared" si="40"/>
        <v>4</v>
      </c>
      <c r="G291" s="319">
        <v>4</v>
      </c>
      <c r="H291" s="331">
        <f t="shared" si="41"/>
        <v>291.49</v>
      </c>
      <c r="I291" s="169">
        <f t="shared" si="42"/>
        <v>1165.96</v>
      </c>
      <c r="J291" s="537"/>
      <c r="K291" s="125"/>
    </row>
    <row r="292" spans="1:11" ht="28.5">
      <c r="A292" s="213" t="s">
        <v>962</v>
      </c>
      <c r="B292" s="254">
        <v>86903</v>
      </c>
      <c r="C292" s="147" t="s">
        <v>1916</v>
      </c>
      <c r="D292" s="164" t="s">
        <v>57</v>
      </c>
      <c r="E292" s="1581">
        <v>334.19</v>
      </c>
      <c r="F292" s="167">
        <f t="shared" si="40"/>
        <v>2</v>
      </c>
      <c r="G292" s="319">
        <v>2</v>
      </c>
      <c r="H292" s="331">
        <f t="shared" si="41"/>
        <v>408.48</v>
      </c>
      <c r="I292" s="169">
        <f t="shared" si="42"/>
        <v>816.96</v>
      </c>
      <c r="J292" s="537"/>
      <c r="K292" s="125"/>
    </row>
    <row r="293" spans="1:11" ht="28.5">
      <c r="A293" s="213" t="s">
        <v>964</v>
      </c>
      <c r="B293" s="254">
        <v>86901</v>
      </c>
      <c r="C293" s="886" t="s">
        <v>2102</v>
      </c>
      <c r="D293" s="164" t="s">
        <v>57</v>
      </c>
      <c r="E293" s="1581">
        <v>137.66999999999999</v>
      </c>
      <c r="F293" s="167">
        <f t="shared" si="40"/>
        <v>4</v>
      </c>
      <c r="G293" s="319">
        <v>4</v>
      </c>
      <c r="H293" s="331">
        <f t="shared" si="41"/>
        <v>168.27</v>
      </c>
      <c r="I293" s="169">
        <f t="shared" si="42"/>
        <v>673.08</v>
      </c>
      <c r="J293" s="537"/>
      <c r="K293" s="125"/>
    </row>
    <row r="294" spans="1:11" ht="28.5">
      <c r="A294" s="213" t="s">
        <v>968</v>
      </c>
      <c r="B294" s="254">
        <v>86900</v>
      </c>
      <c r="C294" s="147" t="s">
        <v>2103</v>
      </c>
      <c r="D294" s="164" t="s">
        <v>57</v>
      </c>
      <c r="E294" s="1581">
        <v>207.92</v>
      </c>
      <c r="F294" s="167">
        <f t="shared" si="40"/>
        <v>1</v>
      </c>
      <c r="G294" s="319">
        <v>1</v>
      </c>
      <c r="H294" s="331">
        <f t="shared" si="41"/>
        <v>254.14</v>
      </c>
      <c r="I294" s="169">
        <f t="shared" si="42"/>
        <v>254.14</v>
      </c>
      <c r="J294" s="537"/>
      <c r="K294" s="125"/>
    </row>
    <row r="295" spans="1:11" ht="28.5">
      <c r="A295" s="213" t="s">
        <v>970</v>
      </c>
      <c r="B295" s="318">
        <v>86911</v>
      </c>
      <c r="C295" s="325" t="s">
        <v>282</v>
      </c>
      <c r="D295" s="164" t="s">
        <v>57</v>
      </c>
      <c r="E295" s="1581">
        <v>81.290000000000006</v>
      </c>
      <c r="F295" s="167">
        <f t="shared" si="40"/>
        <v>1</v>
      </c>
      <c r="G295" s="319">
        <v>1</v>
      </c>
      <c r="H295" s="331">
        <f t="shared" si="41"/>
        <v>99.36</v>
      </c>
      <c r="I295" s="169">
        <f t="shared" si="42"/>
        <v>99.36</v>
      </c>
      <c r="J295" s="537"/>
      <c r="K295" s="125"/>
    </row>
    <row r="296" spans="1:11" ht="28.5">
      <c r="A296" s="213" t="s">
        <v>1001</v>
      </c>
      <c r="B296" s="318">
        <v>86915</v>
      </c>
      <c r="C296" s="325" t="s">
        <v>283</v>
      </c>
      <c r="D296" s="164" t="s">
        <v>57</v>
      </c>
      <c r="E296" s="1581">
        <v>133.15</v>
      </c>
      <c r="F296" s="167">
        <f t="shared" si="40"/>
        <v>1</v>
      </c>
      <c r="G296" s="319">
        <v>1</v>
      </c>
      <c r="H296" s="331">
        <f t="shared" si="41"/>
        <v>162.74</v>
      </c>
      <c r="I296" s="169">
        <f t="shared" si="42"/>
        <v>162.74</v>
      </c>
      <c r="J296" s="537"/>
      <c r="K296" s="125"/>
    </row>
    <row r="297" spans="1:11" ht="28.5">
      <c r="A297" s="213" t="s">
        <v>1340</v>
      </c>
      <c r="B297" s="318">
        <v>86914</v>
      </c>
      <c r="C297" s="325" t="s">
        <v>284</v>
      </c>
      <c r="D297" s="164" t="s">
        <v>57</v>
      </c>
      <c r="E297" s="1581">
        <v>91.23</v>
      </c>
      <c r="F297" s="167">
        <f t="shared" si="40"/>
        <v>1</v>
      </c>
      <c r="G297" s="319">
        <v>1</v>
      </c>
      <c r="H297" s="331">
        <f t="shared" si="41"/>
        <v>111.51</v>
      </c>
      <c r="I297" s="169">
        <f t="shared" si="42"/>
        <v>111.51</v>
      </c>
      <c r="J297" s="537"/>
      <c r="K297" s="125"/>
    </row>
    <row r="298" spans="1:11" ht="29.25" customHeight="1">
      <c r="A298" s="213" t="s">
        <v>1341</v>
      </c>
      <c r="B298" s="166" t="s">
        <v>163</v>
      </c>
      <c r="C298" s="258" t="s">
        <v>1563</v>
      </c>
      <c r="D298" s="164" t="s">
        <v>57</v>
      </c>
      <c r="E298" s="1581">
        <v>236.55</v>
      </c>
      <c r="F298" s="167">
        <f t="shared" si="40"/>
        <v>2</v>
      </c>
      <c r="G298" s="319">
        <v>2</v>
      </c>
      <c r="H298" s="331">
        <f t="shared" si="41"/>
        <v>289.13</v>
      </c>
      <c r="I298" s="169">
        <f t="shared" si="42"/>
        <v>578.26</v>
      </c>
      <c r="J298" s="563">
        <f>'COMP CIVIL'!F125</f>
        <v>254.55</v>
      </c>
      <c r="K298" s="125"/>
    </row>
    <row r="299" spans="1:11" ht="28.5">
      <c r="A299" s="213" t="s">
        <v>1342</v>
      </c>
      <c r="B299" s="166" t="s">
        <v>609</v>
      </c>
      <c r="C299" s="147" t="s">
        <v>462</v>
      </c>
      <c r="D299" s="164" t="s">
        <v>57</v>
      </c>
      <c r="E299" s="1581">
        <v>227.95</v>
      </c>
      <c r="F299" s="167">
        <f t="shared" si="40"/>
        <v>2</v>
      </c>
      <c r="G299" s="319">
        <v>2</v>
      </c>
      <c r="H299" s="331">
        <f t="shared" si="41"/>
        <v>278.62</v>
      </c>
      <c r="I299" s="169">
        <f t="shared" si="42"/>
        <v>557.24</v>
      </c>
      <c r="J299" s="563">
        <f>'COMP CIVIL'!F268</f>
        <v>303.64999999999998</v>
      </c>
      <c r="K299" s="125"/>
    </row>
    <row r="300" spans="1:11" ht="28.5">
      <c r="A300" s="213" t="s">
        <v>1343</v>
      </c>
      <c r="B300" s="166" t="s">
        <v>617</v>
      </c>
      <c r="C300" s="147" t="s">
        <v>463</v>
      </c>
      <c r="D300" s="180" t="s">
        <v>57</v>
      </c>
      <c r="E300" s="1581">
        <v>216.7</v>
      </c>
      <c r="F300" s="167">
        <f t="shared" si="40"/>
        <v>2</v>
      </c>
      <c r="G300" s="319">
        <v>2</v>
      </c>
      <c r="H300" s="331">
        <f t="shared" si="41"/>
        <v>264.87</v>
      </c>
      <c r="I300" s="169">
        <f t="shared" si="42"/>
        <v>529.74</v>
      </c>
      <c r="J300" s="563">
        <f>'COMP CIVIL'!F280</f>
        <v>290.89</v>
      </c>
      <c r="K300" s="125"/>
    </row>
    <row r="301" spans="1:11" ht="28.5">
      <c r="A301" s="213" t="s">
        <v>1344</v>
      </c>
      <c r="B301" s="254">
        <v>95547</v>
      </c>
      <c r="C301" s="147" t="s">
        <v>1551</v>
      </c>
      <c r="D301" s="180" t="s">
        <v>57</v>
      </c>
      <c r="E301" s="1581">
        <v>81.459999999999994</v>
      </c>
      <c r="F301" s="167">
        <f t="shared" si="40"/>
        <v>4</v>
      </c>
      <c r="G301" s="319">
        <v>4</v>
      </c>
      <c r="H301" s="331">
        <f t="shared" si="41"/>
        <v>99.56</v>
      </c>
      <c r="I301" s="169">
        <f t="shared" si="42"/>
        <v>398.24</v>
      </c>
      <c r="J301" s="416"/>
      <c r="K301" s="125"/>
    </row>
    <row r="302" spans="1:11" ht="43.5" customHeight="1">
      <c r="A302" s="213" t="s">
        <v>1877</v>
      </c>
      <c r="B302" s="254" t="s">
        <v>665</v>
      </c>
      <c r="C302" s="258" t="s">
        <v>1552</v>
      </c>
      <c r="D302" s="254" t="s">
        <v>48</v>
      </c>
      <c r="E302" s="1581">
        <v>704.39</v>
      </c>
      <c r="F302" s="167">
        <f t="shared" si="40"/>
        <v>1.62</v>
      </c>
      <c r="G302" s="319">
        <v>1.62</v>
      </c>
      <c r="H302" s="331">
        <f t="shared" si="41"/>
        <v>860.97</v>
      </c>
      <c r="I302" s="169">
        <f t="shared" si="42"/>
        <v>1394.77</v>
      </c>
      <c r="J302" s="563">
        <f>'COMP CIVIL'!F294</f>
        <v>1132.3899999999999</v>
      </c>
      <c r="K302" s="125"/>
    </row>
    <row r="303" spans="1:11">
      <c r="A303" s="213" t="s">
        <v>1879</v>
      </c>
      <c r="B303" s="254" t="s">
        <v>1557</v>
      </c>
      <c r="C303" s="258" t="s">
        <v>1558</v>
      </c>
      <c r="D303" s="180" t="s">
        <v>57</v>
      </c>
      <c r="E303" s="1581">
        <v>100.04</v>
      </c>
      <c r="F303" s="167">
        <f t="shared" si="40"/>
        <v>6</v>
      </c>
      <c r="G303" s="319">
        <v>6</v>
      </c>
      <c r="H303" s="331">
        <f t="shared" si="41"/>
        <v>122.27</v>
      </c>
      <c r="I303" s="169">
        <f t="shared" si="42"/>
        <v>733.62</v>
      </c>
      <c r="J303" s="563">
        <f>'COMP CIVIL'!F305</f>
        <v>91.679999999999993</v>
      </c>
      <c r="K303" s="125"/>
    </row>
    <row r="304" spans="1:11">
      <c r="A304" s="213" t="s">
        <v>1880</v>
      </c>
      <c r="B304" s="254" t="s">
        <v>1560</v>
      </c>
      <c r="C304" s="258" t="s">
        <v>1561</v>
      </c>
      <c r="D304" s="180" t="s">
        <v>57</v>
      </c>
      <c r="E304" s="1581">
        <v>100.04</v>
      </c>
      <c r="F304" s="167">
        <f t="shared" si="40"/>
        <v>4</v>
      </c>
      <c r="G304" s="319">
        <v>4</v>
      </c>
      <c r="H304" s="331">
        <f t="shared" si="41"/>
        <v>122.27</v>
      </c>
      <c r="I304" s="169">
        <f t="shared" si="42"/>
        <v>489.08</v>
      </c>
      <c r="J304" s="563">
        <f>'COMP CIVIL'!F316</f>
        <v>91.679999999999993</v>
      </c>
      <c r="K304" s="125"/>
    </row>
    <row r="305" spans="1:11" ht="15.75" thickBot="1">
      <c r="A305" s="698"/>
      <c r="B305" s="177"/>
      <c r="C305" s="177"/>
      <c r="D305" s="177"/>
      <c r="E305" s="1582"/>
      <c r="F305" s="178"/>
      <c r="G305" s="179"/>
      <c r="H305" s="215" t="s">
        <v>16</v>
      </c>
      <c r="I305" s="216">
        <f>TRUNC(SUM(I290:I304),2)</f>
        <v>8241.1200000000008</v>
      </c>
      <c r="J305" s="537"/>
      <c r="K305" s="125"/>
    </row>
    <row r="306" spans="1:11">
      <c r="A306" s="593">
        <v>15</v>
      </c>
      <c r="B306" s="594"/>
      <c r="C306" s="595" t="s">
        <v>286</v>
      </c>
      <c r="D306" s="596"/>
      <c r="E306" s="1587"/>
      <c r="F306" s="596"/>
      <c r="G306" s="598"/>
      <c r="H306" s="598"/>
      <c r="I306" s="599"/>
      <c r="J306" s="476"/>
      <c r="K306" s="125"/>
    </row>
    <row r="307" spans="1:11" ht="14.25" customHeight="1">
      <c r="A307" s="565" t="s">
        <v>649</v>
      </c>
      <c r="B307" s="1975"/>
      <c r="C307" s="1976" t="s">
        <v>1811</v>
      </c>
      <c r="D307" s="1977"/>
      <c r="E307" s="1978"/>
      <c r="F307" s="1979"/>
      <c r="G307" s="1980"/>
      <c r="H307" s="1979"/>
      <c r="I307" s="1981"/>
      <c r="J307" s="476" t="s">
        <v>1413</v>
      </c>
      <c r="K307" s="125"/>
    </row>
    <row r="308" spans="1:11" ht="45.75" customHeight="1">
      <c r="A308" s="388" t="s">
        <v>1345</v>
      </c>
      <c r="B308" s="166">
        <v>89707</v>
      </c>
      <c r="C308" s="257" t="s">
        <v>171</v>
      </c>
      <c r="D308" s="180" t="s">
        <v>57</v>
      </c>
      <c r="E308" s="1576">
        <v>39.06</v>
      </c>
      <c r="F308" s="351">
        <f t="shared" ref="F308:F360" si="43">IF(OR(E308&lt;=0)," ",TRUNC(G308,2))</f>
        <v>1</v>
      </c>
      <c r="G308" s="975">
        <v>1</v>
      </c>
      <c r="H308" s="352">
        <f t="shared" ref="H308:H360" si="44">IF(OR(E308&lt;=0)," ",TRUNC((E308*(1+$I$10)),2))</f>
        <v>47.74</v>
      </c>
      <c r="I308" s="169">
        <f t="shared" ref="I308:I360" si="45">IF(OR(E308&lt;=0)," ",TRUNC((H308*F308),2))</f>
        <v>47.74</v>
      </c>
      <c r="J308" s="822" t="s">
        <v>489</v>
      </c>
      <c r="K308" s="125"/>
    </row>
    <row r="309" spans="1:11" ht="33" customHeight="1" thickBot="1">
      <c r="A309" s="385" t="s">
        <v>1346</v>
      </c>
      <c r="B309" s="1681" t="s">
        <v>518</v>
      </c>
      <c r="C309" s="1699" t="s">
        <v>287</v>
      </c>
      <c r="D309" s="1671" t="s">
        <v>57</v>
      </c>
      <c r="E309" s="1573">
        <v>50.12</v>
      </c>
      <c r="F309" s="988">
        <f t="shared" si="43"/>
        <v>5</v>
      </c>
      <c r="G309" s="1700">
        <v>5</v>
      </c>
      <c r="H309" s="979">
        <f t="shared" si="44"/>
        <v>61.26</v>
      </c>
      <c r="I309" s="1648">
        <f t="shared" si="45"/>
        <v>306.3</v>
      </c>
      <c r="J309" s="947">
        <f>'COMP HIDR'!F187</f>
        <v>58.84</v>
      </c>
      <c r="K309" s="125"/>
    </row>
    <row r="310" spans="1:11" ht="47.25" customHeight="1">
      <c r="A310" s="1701" t="s">
        <v>1347</v>
      </c>
      <c r="B310" s="1702">
        <v>89732</v>
      </c>
      <c r="C310" s="1651" t="s">
        <v>175</v>
      </c>
      <c r="D310" s="1665" t="s">
        <v>57</v>
      </c>
      <c r="E310" s="1579">
        <v>12.51</v>
      </c>
      <c r="F310" s="1609">
        <f t="shared" si="43"/>
        <v>4</v>
      </c>
      <c r="G310" s="1633">
        <v>4</v>
      </c>
      <c r="H310" s="1611">
        <f t="shared" si="44"/>
        <v>15.29</v>
      </c>
      <c r="I310" s="1612">
        <f t="shared" si="45"/>
        <v>61.16</v>
      </c>
      <c r="J310" s="821"/>
      <c r="K310" s="244"/>
    </row>
    <row r="311" spans="1:11" ht="45.75" customHeight="1">
      <c r="A311" s="388" t="s">
        <v>1348</v>
      </c>
      <c r="B311" s="166">
        <v>89746</v>
      </c>
      <c r="C311" s="257" t="s">
        <v>288</v>
      </c>
      <c r="D311" s="180" t="s">
        <v>57</v>
      </c>
      <c r="E311" s="1576">
        <v>27.02</v>
      </c>
      <c r="F311" s="351">
        <f t="shared" si="43"/>
        <v>7</v>
      </c>
      <c r="G311" s="975">
        <v>7</v>
      </c>
      <c r="H311" s="352">
        <f t="shared" si="44"/>
        <v>33.020000000000003</v>
      </c>
      <c r="I311" s="169">
        <f t="shared" si="45"/>
        <v>231.14</v>
      </c>
      <c r="J311" s="821"/>
      <c r="K311" s="244"/>
    </row>
    <row r="312" spans="1:11" ht="46.5" customHeight="1">
      <c r="A312" s="388" t="s">
        <v>1349</v>
      </c>
      <c r="B312" s="166">
        <v>89737</v>
      </c>
      <c r="C312" s="147" t="s">
        <v>2080</v>
      </c>
      <c r="D312" s="180" t="s">
        <v>57</v>
      </c>
      <c r="E312" s="1576">
        <v>21.03</v>
      </c>
      <c r="F312" s="351">
        <f t="shared" si="43"/>
        <v>2</v>
      </c>
      <c r="G312" s="975">
        <v>2</v>
      </c>
      <c r="H312" s="352">
        <f t="shared" si="44"/>
        <v>25.7</v>
      </c>
      <c r="I312" s="169">
        <f t="shared" si="45"/>
        <v>51.4</v>
      </c>
      <c r="J312" s="821"/>
      <c r="K312" s="294"/>
    </row>
    <row r="313" spans="1:11" ht="47.25" customHeight="1">
      <c r="A313" s="388" t="s">
        <v>1350</v>
      </c>
      <c r="B313" s="166">
        <v>89724</v>
      </c>
      <c r="C313" s="147" t="s">
        <v>2079</v>
      </c>
      <c r="D313" s="180" t="s">
        <v>57</v>
      </c>
      <c r="E313" s="1576">
        <v>11.17</v>
      </c>
      <c r="F313" s="351">
        <f t="shared" si="43"/>
        <v>7</v>
      </c>
      <c r="G313" s="975">
        <v>7</v>
      </c>
      <c r="H313" s="352">
        <f t="shared" si="44"/>
        <v>13.65</v>
      </c>
      <c r="I313" s="169">
        <f t="shared" si="45"/>
        <v>95.55</v>
      </c>
      <c r="J313" s="821"/>
      <c r="K313" s="244"/>
    </row>
    <row r="314" spans="1:11" ht="48" customHeight="1">
      <c r="A314" s="388" t="s">
        <v>1351</v>
      </c>
      <c r="B314" s="166">
        <v>89731</v>
      </c>
      <c r="C314" s="257" t="s">
        <v>289</v>
      </c>
      <c r="D314" s="180" t="s">
        <v>57</v>
      </c>
      <c r="E314" s="1576">
        <v>11.67</v>
      </c>
      <c r="F314" s="351">
        <f t="shared" si="43"/>
        <v>7</v>
      </c>
      <c r="G314" s="975">
        <v>7</v>
      </c>
      <c r="H314" s="352">
        <f t="shared" si="44"/>
        <v>14.26</v>
      </c>
      <c r="I314" s="169">
        <f t="shared" si="45"/>
        <v>99.82</v>
      </c>
      <c r="J314" s="821"/>
      <c r="K314" s="244"/>
    </row>
    <row r="315" spans="1:11" ht="46.5" customHeight="1">
      <c r="A315" s="388" t="s">
        <v>1352</v>
      </c>
      <c r="B315" s="166">
        <v>89744</v>
      </c>
      <c r="C315" s="257" t="s">
        <v>290</v>
      </c>
      <c r="D315" s="180" t="s">
        <v>57</v>
      </c>
      <c r="E315" s="1576">
        <v>27.09</v>
      </c>
      <c r="F315" s="351">
        <f t="shared" si="43"/>
        <v>7</v>
      </c>
      <c r="G315" s="975">
        <v>7</v>
      </c>
      <c r="H315" s="352">
        <f t="shared" si="44"/>
        <v>33.11</v>
      </c>
      <c r="I315" s="169">
        <f t="shared" si="45"/>
        <v>231.77</v>
      </c>
      <c r="J315" s="821"/>
      <c r="K315" s="244"/>
    </row>
    <row r="316" spans="1:11" ht="19.5" customHeight="1">
      <c r="A316" s="388" t="s">
        <v>1353</v>
      </c>
      <c r="B316" s="318" t="s">
        <v>2081</v>
      </c>
      <c r="C316" s="257" t="s">
        <v>2082</v>
      </c>
      <c r="D316" s="180" t="s">
        <v>57</v>
      </c>
      <c r="E316" s="1576">
        <v>30.11</v>
      </c>
      <c r="F316" s="351">
        <f t="shared" si="43"/>
        <v>7</v>
      </c>
      <c r="G316" s="975">
        <v>7</v>
      </c>
      <c r="H316" s="352">
        <f t="shared" si="44"/>
        <v>36.799999999999997</v>
      </c>
      <c r="I316" s="169">
        <f t="shared" si="45"/>
        <v>257.60000000000002</v>
      </c>
      <c r="J316" s="947">
        <f>'COMP HIDR'!F199</f>
        <v>39.979999999999997</v>
      </c>
      <c r="K316" s="244"/>
    </row>
    <row r="317" spans="1:11" ht="49.5" customHeight="1">
      <c r="A317" s="388" t="s">
        <v>1354</v>
      </c>
      <c r="B317" s="318" t="s">
        <v>2085</v>
      </c>
      <c r="C317" s="1972" t="s">
        <v>2067</v>
      </c>
      <c r="D317" s="180" t="s">
        <v>57</v>
      </c>
      <c r="E317" s="1576">
        <v>32.96</v>
      </c>
      <c r="F317" s="351">
        <f t="shared" si="43"/>
        <v>2</v>
      </c>
      <c r="G317" s="975">
        <v>2</v>
      </c>
      <c r="H317" s="352">
        <f t="shared" si="44"/>
        <v>40.28</v>
      </c>
      <c r="I317" s="169">
        <f t="shared" si="45"/>
        <v>80.56</v>
      </c>
      <c r="J317" s="947">
        <f>'COMP HIDR'!F213</f>
        <v>41.38</v>
      </c>
      <c r="K317" s="244"/>
    </row>
    <row r="318" spans="1:11" ht="49.5" customHeight="1">
      <c r="A318" s="388" t="s">
        <v>1355</v>
      </c>
      <c r="B318" s="332">
        <v>89785</v>
      </c>
      <c r="C318" s="147" t="s">
        <v>2068</v>
      </c>
      <c r="D318" s="180" t="s">
        <v>57</v>
      </c>
      <c r="E318" s="1576">
        <v>24.09</v>
      </c>
      <c r="F318" s="351">
        <f t="shared" si="43"/>
        <v>2</v>
      </c>
      <c r="G318" s="975">
        <v>2</v>
      </c>
      <c r="H318" s="352">
        <f t="shared" si="44"/>
        <v>29.44</v>
      </c>
      <c r="I318" s="169">
        <f t="shared" si="45"/>
        <v>58.88</v>
      </c>
      <c r="J318" s="821"/>
      <c r="K318" s="244"/>
    </row>
    <row r="319" spans="1:11" ht="42.75">
      <c r="A319" s="388" t="s">
        <v>1356</v>
      </c>
      <c r="B319" s="1973">
        <v>89797</v>
      </c>
      <c r="C319" s="1972" t="s">
        <v>176</v>
      </c>
      <c r="D319" s="180" t="s">
        <v>57</v>
      </c>
      <c r="E319" s="1576">
        <v>54.11</v>
      </c>
      <c r="F319" s="351">
        <f t="shared" si="43"/>
        <v>4</v>
      </c>
      <c r="G319" s="975">
        <v>4</v>
      </c>
      <c r="H319" s="352">
        <f t="shared" si="44"/>
        <v>66.13</v>
      </c>
      <c r="I319" s="169">
        <f t="shared" si="45"/>
        <v>264.52</v>
      </c>
      <c r="J319" s="821"/>
      <c r="K319" s="244"/>
    </row>
    <row r="320" spans="1:11" ht="42.75">
      <c r="A320" s="388" t="s">
        <v>1357</v>
      </c>
      <c r="B320" s="166">
        <v>89711</v>
      </c>
      <c r="C320" s="257" t="s">
        <v>173</v>
      </c>
      <c r="D320" s="1974" t="s">
        <v>56</v>
      </c>
      <c r="E320" s="1576">
        <v>20.03</v>
      </c>
      <c r="F320" s="351">
        <f t="shared" si="43"/>
        <v>9.7200000000000006</v>
      </c>
      <c r="G320" s="975">
        <v>9.7200000000000006</v>
      </c>
      <c r="H320" s="352">
        <f t="shared" si="44"/>
        <v>24.48</v>
      </c>
      <c r="I320" s="169">
        <f t="shared" si="45"/>
        <v>237.94</v>
      </c>
      <c r="J320" s="420"/>
      <c r="K320" s="244"/>
    </row>
    <row r="321" spans="1:11" ht="42.75">
      <c r="A321" s="388" t="s">
        <v>1358</v>
      </c>
      <c r="B321" s="166">
        <v>89712</v>
      </c>
      <c r="C321" s="257" t="s">
        <v>174</v>
      </c>
      <c r="D321" s="1974" t="s">
        <v>56</v>
      </c>
      <c r="E321" s="1576">
        <v>30.9</v>
      </c>
      <c r="F321" s="351">
        <f t="shared" si="43"/>
        <v>29.38</v>
      </c>
      <c r="G321" s="975">
        <v>29.38</v>
      </c>
      <c r="H321" s="352">
        <f t="shared" si="44"/>
        <v>37.76</v>
      </c>
      <c r="I321" s="169">
        <f t="shared" si="45"/>
        <v>1109.3800000000001</v>
      </c>
      <c r="J321" s="420"/>
      <c r="K321" s="244"/>
    </row>
    <row r="322" spans="1:11" ht="49.5" customHeight="1">
      <c r="A322" s="388" t="s">
        <v>1359</v>
      </c>
      <c r="B322" s="166">
        <v>89714</v>
      </c>
      <c r="C322" s="257" t="s">
        <v>172</v>
      </c>
      <c r="D322" s="1974" t="s">
        <v>56</v>
      </c>
      <c r="E322" s="1576">
        <v>59.66</v>
      </c>
      <c r="F322" s="351">
        <f t="shared" si="43"/>
        <v>22.94</v>
      </c>
      <c r="G322" s="975">
        <v>22.94</v>
      </c>
      <c r="H322" s="352">
        <f t="shared" si="44"/>
        <v>72.92</v>
      </c>
      <c r="I322" s="169">
        <f t="shared" si="45"/>
        <v>1672.78</v>
      </c>
      <c r="J322" s="420"/>
      <c r="K322" s="244"/>
    </row>
    <row r="323" spans="1:11" ht="63" customHeight="1">
      <c r="A323" s="388" t="s">
        <v>1360</v>
      </c>
      <c r="B323" s="332">
        <v>91794</v>
      </c>
      <c r="C323" s="147" t="s">
        <v>2088</v>
      </c>
      <c r="D323" s="1974" t="s">
        <v>56</v>
      </c>
      <c r="E323" s="1576">
        <v>47.1</v>
      </c>
      <c r="F323" s="351">
        <f t="shared" si="43"/>
        <v>1.84</v>
      </c>
      <c r="G323" s="975">
        <v>1.84</v>
      </c>
      <c r="H323" s="352">
        <f t="shared" si="44"/>
        <v>57.57</v>
      </c>
      <c r="I323" s="169">
        <f t="shared" si="45"/>
        <v>105.92</v>
      </c>
      <c r="J323" s="820"/>
      <c r="K323" s="244"/>
    </row>
    <row r="324" spans="1:11" ht="43.5" thickBot="1">
      <c r="A324" s="385" t="s">
        <v>1361</v>
      </c>
      <c r="B324" s="1703">
        <v>89784</v>
      </c>
      <c r="C324" s="1699" t="s">
        <v>2089</v>
      </c>
      <c r="D324" s="1671" t="s">
        <v>57</v>
      </c>
      <c r="E324" s="1573">
        <v>22.5</v>
      </c>
      <c r="F324" s="988">
        <f t="shared" si="43"/>
        <v>5</v>
      </c>
      <c r="G324" s="1700">
        <v>5</v>
      </c>
      <c r="H324" s="979">
        <f t="shared" si="44"/>
        <v>27.5</v>
      </c>
      <c r="I324" s="1648">
        <f t="shared" si="45"/>
        <v>137.5</v>
      </c>
      <c r="J324" s="420"/>
      <c r="K324" s="244"/>
    </row>
    <row r="325" spans="1:11" ht="28.5">
      <c r="A325" s="1701" t="s">
        <v>1362</v>
      </c>
      <c r="B325" s="1694" t="s">
        <v>520</v>
      </c>
      <c r="C325" s="1695" t="s">
        <v>2070</v>
      </c>
      <c r="D325" s="1665" t="s">
        <v>57</v>
      </c>
      <c r="E325" s="1579">
        <v>48.34</v>
      </c>
      <c r="F325" s="1609">
        <f t="shared" si="43"/>
        <v>2</v>
      </c>
      <c r="G325" s="1633">
        <v>2</v>
      </c>
      <c r="H325" s="1611">
        <f t="shared" si="44"/>
        <v>59.08</v>
      </c>
      <c r="I325" s="1612">
        <f t="shared" si="45"/>
        <v>118.16</v>
      </c>
      <c r="J325" s="951">
        <f>'COMP HIDR'!F226</f>
        <v>60.41</v>
      </c>
      <c r="K325" s="244"/>
    </row>
    <row r="326" spans="1:11">
      <c r="A326" s="388" t="s">
        <v>1363</v>
      </c>
      <c r="B326" s="318" t="s">
        <v>523</v>
      </c>
      <c r="C326" s="257" t="s">
        <v>2098</v>
      </c>
      <c r="D326" s="180" t="s">
        <v>57</v>
      </c>
      <c r="E326" s="1576">
        <v>10.1</v>
      </c>
      <c r="F326" s="351">
        <f t="shared" si="43"/>
        <v>8</v>
      </c>
      <c r="G326" s="975">
        <v>8</v>
      </c>
      <c r="H326" s="352">
        <f t="shared" si="44"/>
        <v>12.34</v>
      </c>
      <c r="I326" s="169">
        <f t="shared" si="45"/>
        <v>98.72</v>
      </c>
      <c r="J326" s="951">
        <f>'COMP HIDR'!F262</f>
        <v>13.780000000000001</v>
      </c>
      <c r="K326" s="244"/>
    </row>
    <row r="327" spans="1:11">
      <c r="A327" s="388" t="s">
        <v>2071</v>
      </c>
      <c r="B327" s="318" t="s">
        <v>524</v>
      </c>
      <c r="C327" s="325" t="s">
        <v>2099</v>
      </c>
      <c r="D327" s="180" t="s">
        <v>57</v>
      </c>
      <c r="E327" s="1576">
        <v>14.24</v>
      </c>
      <c r="F327" s="351">
        <f t="shared" si="43"/>
        <v>1</v>
      </c>
      <c r="G327" s="975">
        <v>1</v>
      </c>
      <c r="H327" s="352">
        <f t="shared" si="44"/>
        <v>17.399999999999999</v>
      </c>
      <c r="I327" s="169">
        <f t="shared" si="45"/>
        <v>17.399999999999999</v>
      </c>
      <c r="J327" s="951">
        <f>'COMP HIDR'!F275</f>
        <v>13.780000000000001</v>
      </c>
      <c r="K327" s="244"/>
    </row>
    <row r="328" spans="1:11" ht="18.75" customHeight="1">
      <c r="A328" s="388" t="s">
        <v>2072</v>
      </c>
      <c r="B328" s="318" t="s">
        <v>525</v>
      </c>
      <c r="C328" s="257" t="s">
        <v>2101</v>
      </c>
      <c r="D328" s="180" t="s">
        <v>57</v>
      </c>
      <c r="E328" s="1576">
        <v>511.94</v>
      </c>
      <c r="F328" s="351">
        <f t="shared" si="43"/>
        <v>3</v>
      </c>
      <c r="G328" s="975">
        <v>3</v>
      </c>
      <c r="H328" s="352">
        <f t="shared" si="44"/>
        <v>625.74</v>
      </c>
      <c r="I328" s="169">
        <f t="shared" si="45"/>
        <v>1877.22</v>
      </c>
      <c r="J328" s="420">
        <f>'COMP HIDR'!F286</f>
        <v>381.13</v>
      </c>
      <c r="K328" s="244"/>
    </row>
    <row r="329" spans="1:11" ht="28.5" customHeight="1">
      <c r="A329" s="388" t="s">
        <v>2073</v>
      </c>
      <c r="B329" s="166">
        <v>98110</v>
      </c>
      <c r="C329" s="147" t="s">
        <v>2100</v>
      </c>
      <c r="D329" s="180" t="s">
        <v>57</v>
      </c>
      <c r="E329" s="1576">
        <v>372.11</v>
      </c>
      <c r="F329" s="351">
        <f t="shared" si="43"/>
        <v>1</v>
      </c>
      <c r="G329" s="975">
        <v>1</v>
      </c>
      <c r="H329" s="352">
        <f t="shared" si="44"/>
        <v>454.83</v>
      </c>
      <c r="I329" s="169">
        <f t="shared" si="45"/>
        <v>454.83</v>
      </c>
      <c r="J329" s="420"/>
      <c r="K329" s="244"/>
    </row>
    <row r="330" spans="1:11" ht="15.75" customHeight="1">
      <c r="A330" s="388" t="s">
        <v>2074</v>
      </c>
      <c r="B330" s="166" t="s">
        <v>521</v>
      </c>
      <c r="C330" s="257" t="s">
        <v>2271</v>
      </c>
      <c r="D330" s="180" t="s">
        <v>57</v>
      </c>
      <c r="E330" s="1578">
        <v>40.36</v>
      </c>
      <c r="F330" s="1588">
        <f t="shared" si="43"/>
        <v>1</v>
      </c>
      <c r="G330" s="1704">
        <v>1</v>
      </c>
      <c r="H330" s="352">
        <f t="shared" si="44"/>
        <v>49.33</v>
      </c>
      <c r="I330" s="169">
        <f t="shared" si="45"/>
        <v>49.33</v>
      </c>
      <c r="J330" s="420">
        <f>'COMP HIDR'!F238</f>
        <v>45.099999999999994</v>
      </c>
      <c r="K330" s="244"/>
    </row>
    <row r="331" spans="1:11" ht="30" customHeight="1">
      <c r="A331" s="388" t="s">
        <v>2075</v>
      </c>
      <c r="B331" s="166">
        <v>86883</v>
      </c>
      <c r="C331" s="147" t="s">
        <v>2096</v>
      </c>
      <c r="D331" s="180" t="s">
        <v>57</v>
      </c>
      <c r="E331" s="1578">
        <v>13.51</v>
      </c>
      <c r="F331" s="1588">
        <f t="shared" si="43"/>
        <v>7</v>
      </c>
      <c r="G331" s="1704">
        <v>7</v>
      </c>
      <c r="H331" s="352">
        <f t="shared" si="44"/>
        <v>16.510000000000002</v>
      </c>
      <c r="I331" s="169">
        <f t="shared" si="45"/>
        <v>115.57</v>
      </c>
      <c r="J331" s="420"/>
      <c r="K331" s="244"/>
    </row>
    <row r="332" spans="1:11" ht="15.75" customHeight="1">
      <c r="A332" s="388" t="s">
        <v>2076</v>
      </c>
      <c r="B332" s="318" t="s">
        <v>522</v>
      </c>
      <c r="C332" s="257" t="s">
        <v>2097</v>
      </c>
      <c r="D332" s="180" t="s">
        <v>57</v>
      </c>
      <c r="E332" s="1578">
        <v>8.3699999999999992</v>
      </c>
      <c r="F332" s="1588">
        <f t="shared" si="43"/>
        <v>2</v>
      </c>
      <c r="G332" s="1704">
        <v>2</v>
      </c>
      <c r="H332" s="352">
        <f t="shared" si="44"/>
        <v>10.23</v>
      </c>
      <c r="I332" s="169">
        <f t="shared" si="45"/>
        <v>20.46</v>
      </c>
      <c r="J332" s="420">
        <f>'COMP HIDR'!F249</f>
        <v>10.049999999999999</v>
      </c>
      <c r="K332" s="244"/>
    </row>
    <row r="333" spans="1:11" ht="30.75" customHeight="1">
      <c r="A333" s="388" t="s">
        <v>2077</v>
      </c>
      <c r="B333" s="1705">
        <v>86879</v>
      </c>
      <c r="C333" s="147" t="s">
        <v>2093</v>
      </c>
      <c r="D333" s="180" t="s">
        <v>57</v>
      </c>
      <c r="E333" s="1578">
        <v>7.56</v>
      </c>
      <c r="F333" s="1588">
        <f t="shared" si="43"/>
        <v>8</v>
      </c>
      <c r="G333" s="1704">
        <v>8</v>
      </c>
      <c r="H333" s="352">
        <f t="shared" si="44"/>
        <v>9.24</v>
      </c>
      <c r="I333" s="169">
        <f t="shared" si="45"/>
        <v>73.92</v>
      </c>
      <c r="J333" s="420"/>
      <c r="K333" s="244"/>
    </row>
    <row r="334" spans="1:11" ht="15.75" thickBot="1">
      <c r="A334" s="385"/>
      <c r="B334" s="173"/>
      <c r="C334" s="340"/>
      <c r="D334" s="173"/>
      <c r="E334" s="1573"/>
      <c r="F334" s="978"/>
      <c r="G334" s="994"/>
      <c r="H334" s="980" t="s">
        <v>16</v>
      </c>
      <c r="I334" s="176">
        <f>TRUNC(SUM(I308:I333),2)</f>
        <v>7875.57</v>
      </c>
      <c r="J334" s="537"/>
      <c r="K334" s="244"/>
    </row>
    <row r="335" spans="1:11" ht="15.75">
      <c r="A335" s="566" t="s">
        <v>161</v>
      </c>
      <c r="B335" s="567"/>
      <c r="C335" s="568" t="s">
        <v>648</v>
      </c>
      <c r="D335" s="569"/>
      <c r="E335" s="995"/>
      <c r="F335" s="996"/>
      <c r="G335" s="997"/>
      <c r="H335" s="996"/>
      <c r="I335" s="570"/>
      <c r="J335" s="537"/>
      <c r="K335" s="244"/>
    </row>
    <row r="336" spans="1:11" ht="44.25" customHeight="1">
      <c r="A336" s="571" t="s">
        <v>1364</v>
      </c>
      <c r="B336" s="572"/>
      <c r="C336" s="1706" t="s">
        <v>292</v>
      </c>
      <c r="D336" s="573"/>
      <c r="E336" s="998"/>
      <c r="F336" s="999"/>
      <c r="G336" s="1000"/>
      <c r="H336" s="999"/>
      <c r="I336" s="574"/>
      <c r="J336" s="476" t="s">
        <v>1413</v>
      </c>
      <c r="K336" s="244"/>
    </row>
    <row r="337" spans="1:11" ht="28.5">
      <c r="A337" s="389" t="s">
        <v>1365</v>
      </c>
      <c r="B337" s="1707">
        <v>96522</v>
      </c>
      <c r="C337" s="1708" t="s">
        <v>291</v>
      </c>
      <c r="D337" s="1591" t="s">
        <v>49</v>
      </c>
      <c r="E337" s="1629">
        <v>126.8</v>
      </c>
      <c r="F337" s="1593">
        <f t="shared" si="43"/>
        <v>9.11</v>
      </c>
      <c r="G337" s="1689">
        <v>9.11</v>
      </c>
      <c r="H337" s="1595">
        <f t="shared" si="44"/>
        <v>154.97999999999999</v>
      </c>
      <c r="I337" s="1596">
        <f t="shared" si="45"/>
        <v>1411.86</v>
      </c>
      <c r="J337" s="575"/>
      <c r="K337" s="244"/>
    </row>
    <row r="338" spans="1:11" ht="34.5" customHeight="1">
      <c r="A338" s="389" t="s">
        <v>1366</v>
      </c>
      <c r="B338" s="1707">
        <v>100323</v>
      </c>
      <c r="C338" s="1613" t="s">
        <v>2142</v>
      </c>
      <c r="D338" s="1591" t="s">
        <v>49</v>
      </c>
      <c r="E338" s="1629">
        <v>148.26</v>
      </c>
      <c r="F338" s="1593">
        <f t="shared" si="43"/>
        <v>0.76</v>
      </c>
      <c r="G338" s="1689">
        <v>0.76300000000000001</v>
      </c>
      <c r="H338" s="1595">
        <f t="shared" si="44"/>
        <v>181.21</v>
      </c>
      <c r="I338" s="1596">
        <f t="shared" si="45"/>
        <v>137.71</v>
      </c>
      <c r="J338" s="575"/>
      <c r="K338" s="244"/>
    </row>
    <row r="339" spans="1:11" ht="46.5" customHeight="1">
      <c r="A339" s="389" t="s">
        <v>1367</v>
      </c>
      <c r="B339" s="1707">
        <v>101159</v>
      </c>
      <c r="C339" s="1613" t="s">
        <v>475</v>
      </c>
      <c r="D339" s="1709" t="s">
        <v>48</v>
      </c>
      <c r="E339" s="1629">
        <v>130.79</v>
      </c>
      <c r="F339" s="1593">
        <f t="shared" si="43"/>
        <v>14.44</v>
      </c>
      <c r="G339" s="1689">
        <v>14.44</v>
      </c>
      <c r="H339" s="1595">
        <f t="shared" si="44"/>
        <v>159.86000000000001</v>
      </c>
      <c r="I339" s="1596">
        <f t="shared" si="45"/>
        <v>2308.37</v>
      </c>
      <c r="J339" s="575"/>
      <c r="K339" s="631" t="s">
        <v>2137</v>
      </c>
    </row>
    <row r="340" spans="1:11" ht="30.75" customHeight="1">
      <c r="A340" s="389" t="s">
        <v>1368</v>
      </c>
      <c r="B340" s="1597">
        <v>96536</v>
      </c>
      <c r="C340" s="1598" t="s">
        <v>447</v>
      </c>
      <c r="D340" s="1597" t="s">
        <v>48</v>
      </c>
      <c r="E340" s="1592">
        <v>67.81</v>
      </c>
      <c r="F340" s="1593">
        <f t="shared" si="43"/>
        <v>7.54</v>
      </c>
      <c r="G340" s="1689">
        <v>7.54</v>
      </c>
      <c r="H340" s="1595">
        <f t="shared" si="44"/>
        <v>82.88</v>
      </c>
      <c r="I340" s="1596">
        <f t="shared" si="45"/>
        <v>624.91</v>
      </c>
      <c r="J340" s="575"/>
      <c r="K340" s="631"/>
    </row>
    <row r="341" spans="1:11" ht="35.25" customHeight="1">
      <c r="A341" s="389" t="s">
        <v>1369</v>
      </c>
      <c r="B341" s="1597">
        <v>94965</v>
      </c>
      <c r="C341" s="353" t="s">
        <v>444</v>
      </c>
      <c r="D341" s="1591" t="s">
        <v>49</v>
      </c>
      <c r="E341" s="1592">
        <v>475.48899999999998</v>
      </c>
      <c r="F341" s="1593">
        <f t="shared" si="43"/>
        <v>0.81</v>
      </c>
      <c r="G341" s="1689">
        <v>0.81699999999999995</v>
      </c>
      <c r="H341" s="1595">
        <f t="shared" si="44"/>
        <v>581.19000000000005</v>
      </c>
      <c r="I341" s="1596">
        <f t="shared" si="45"/>
        <v>470.76</v>
      </c>
      <c r="J341" s="575"/>
      <c r="K341" s="631"/>
    </row>
    <row r="342" spans="1:11" ht="30.75" customHeight="1">
      <c r="A342" s="389" t="s">
        <v>1370</v>
      </c>
      <c r="B342" s="1597">
        <v>103673</v>
      </c>
      <c r="C342" s="1598" t="s">
        <v>445</v>
      </c>
      <c r="D342" s="1591" t="s">
        <v>49</v>
      </c>
      <c r="E342" s="1592">
        <v>34.11</v>
      </c>
      <c r="F342" s="1593">
        <f t="shared" si="43"/>
        <v>0.82</v>
      </c>
      <c r="G342" s="1689">
        <v>0.82</v>
      </c>
      <c r="H342" s="1595">
        <f t="shared" si="44"/>
        <v>41.69</v>
      </c>
      <c r="I342" s="1596">
        <f t="shared" si="45"/>
        <v>34.18</v>
      </c>
      <c r="J342" s="575"/>
      <c r="K342" s="631"/>
    </row>
    <row r="343" spans="1:11" ht="48.75" customHeight="1">
      <c r="A343" s="389" t="s">
        <v>1371</v>
      </c>
      <c r="B343" s="1707">
        <v>87893</v>
      </c>
      <c r="C343" s="1613" t="s">
        <v>2139</v>
      </c>
      <c r="D343" s="1709" t="s">
        <v>48</v>
      </c>
      <c r="E343" s="1629">
        <v>6.49</v>
      </c>
      <c r="F343" s="1593">
        <f t="shared" si="43"/>
        <v>0.75</v>
      </c>
      <c r="G343" s="1689">
        <v>0.754</v>
      </c>
      <c r="H343" s="1595">
        <f t="shared" si="44"/>
        <v>7.93</v>
      </c>
      <c r="I343" s="1596">
        <f t="shared" si="45"/>
        <v>5.94</v>
      </c>
      <c r="J343" s="575"/>
      <c r="K343" s="244"/>
    </row>
    <row r="344" spans="1:11" ht="28.5">
      <c r="A344" s="389" t="s">
        <v>2179</v>
      </c>
      <c r="B344" s="1707">
        <v>97086</v>
      </c>
      <c r="C344" s="1613" t="s">
        <v>2140</v>
      </c>
      <c r="D344" s="1709" t="s">
        <v>48</v>
      </c>
      <c r="E344" s="1629">
        <v>109.08</v>
      </c>
      <c r="F344" s="1593">
        <f t="shared" si="43"/>
        <v>3.8</v>
      </c>
      <c r="G344" s="1689">
        <v>3.8010000000000002</v>
      </c>
      <c r="H344" s="1595">
        <f t="shared" si="44"/>
        <v>133.32</v>
      </c>
      <c r="I344" s="1596">
        <f t="shared" si="45"/>
        <v>506.61</v>
      </c>
      <c r="J344" s="575"/>
      <c r="K344" s="244"/>
    </row>
    <row r="345" spans="1:11" ht="42.75">
      <c r="A345" s="389" t="s">
        <v>2180</v>
      </c>
      <c r="B345" s="1707">
        <v>92783</v>
      </c>
      <c r="C345" s="1613" t="s">
        <v>2141</v>
      </c>
      <c r="D345" s="1597" t="s">
        <v>104</v>
      </c>
      <c r="E345" s="1629">
        <v>18.78</v>
      </c>
      <c r="F345" s="1593">
        <f t="shared" si="43"/>
        <v>26.6</v>
      </c>
      <c r="G345" s="1689">
        <v>26.609000000000002</v>
      </c>
      <c r="H345" s="1595">
        <f t="shared" si="44"/>
        <v>22.95</v>
      </c>
      <c r="I345" s="1596">
        <f t="shared" si="45"/>
        <v>610.47</v>
      </c>
      <c r="J345" s="575"/>
      <c r="K345" s="244"/>
    </row>
    <row r="346" spans="1:11" ht="34.5" customHeight="1">
      <c r="A346" s="389" t="s">
        <v>2181</v>
      </c>
      <c r="B346" s="1707">
        <v>98115</v>
      </c>
      <c r="C346" s="1613" t="s">
        <v>2112</v>
      </c>
      <c r="D346" s="180" t="s">
        <v>57</v>
      </c>
      <c r="E346" s="1629">
        <v>140.49</v>
      </c>
      <c r="F346" s="1593">
        <f t="shared" si="43"/>
        <v>1</v>
      </c>
      <c r="G346" s="1689">
        <v>1</v>
      </c>
      <c r="H346" s="1595">
        <f t="shared" si="44"/>
        <v>171.72</v>
      </c>
      <c r="I346" s="1596">
        <f t="shared" si="45"/>
        <v>171.72</v>
      </c>
      <c r="J346" s="575"/>
      <c r="K346" s="244"/>
    </row>
    <row r="347" spans="1:11" ht="15.75" thickBot="1">
      <c r="A347" s="385"/>
      <c r="B347" s="173"/>
      <c r="C347" s="1710"/>
      <c r="D347" s="173"/>
      <c r="E347" s="1573"/>
      <c r="F347" s="988" t="str">
        <f>IF(OR(E347&lt;=0)," ",TRUNC(G347,2))</f>
        <v xml:space="preserve"> </v>
      </c>
      <c r="G347" s="1711"/>
      <c r="H347" s="980" t="s">
        <v>16</v>
      </c>
      <c r="I347" s="176">
        <f>TRUNC(SUM(I337:I346),2)</f>
        <v>6282.53</v>
      </c>
      <c r="J347" s="537"/>
      <c r="K347" s="244"/>
    </row>
    <row r="348" spans="1:11" ht="28.5" customHeight="1" thickBot="1">
      <c r="A348" s="1957" t="s">
        <v>1372</v>
      </c>
      <c r="B348" s="1958"/>
      <c r="C348" s="1959" t="s">
        <v>1996</v>
      </c>
      <c r="D348" s="1960"/>
      <c r="E348" s="1961"/>
      <c r="F348" s="1961"/>
      <c r="G348" s="1961"/>
      <c r="H348" s="1961"/>
      <c r="I348" s="1962"/>
      <c r="J348" s="537"/>
      <c r="K348" s="244"/>
    </row>
    <row r="349" spans="1:11" ht="35.25" customHeight="1">
      <c r="A349" s="1963" t="s">
        <v>1373</v>
      </c>
      <c r="B349" s="1964">
        <v>96522</v>
      </c>
      <c r="C349" s="1965" t="s">
        <v>291</v>
      </c>
      <c r="D349" s="1763" t="s">
        <v>49</v>
      </c>
      <c r="E349" s="1631">
        <v>126.8</v>
      </c>
      <c r="F349" s="1609">
        <f t="shared" si="43"/>
        <v>19.850000000000001</v>
      </c>
      <c r="G349" s="1633">
        <v>19.855</v>
      </c>
      <c r="H349" s="1611">
        <f t="shared" si="44"/>
        <v>154.97999999999999</v>
      </c>
      <c r="I349" s="1612">
        <f t="shared" si="45"/>
        <v>3076.35</v>
      </c>
      <c r="J349" s="537"/>
      <c r="K349" s="244"/>
    </row>
    <row r="350" spans="1:11" ht="31.5" customHeight="1">
      <c r="A350" s="389" t="s">
        <v>1374</v>
      </c>
      <c r="B350" s="146">
        <v>97084</v>
      </c>
      <c r="C350" s="147" t="s">
        <v>2143</v>
      </c>
      <c r="D350" s="333" t="s">
        <v>48</v>
      </c>
      <c r="E350" s="1578">
        <v>0.57999999999999996</v>
      </c>
      <c r="F350" s="351">
        <f t="shared" si="43"/>
        <v>9.02</v>
      </c>
      <c r="G350" s="1704">
        <v>9.0250000000000004</v>
      </c>
      <c r="H350" s="352">
        <f t="shared" si="44"/>
        <v>0.7</v>
      </c>
      <c r="I350" s="169">
        <f t="shared" si="45"/>
        <v>6.31</v>
      </c>
      <c r="J350" s="576"/>
      <c r="K350" s="244"/>
    </row>
    <row r="351" spans="1:11" ht="30.75" customHeight="1">
      <c r="A351" s="389" t="s">
        <v>1375</v>
      </c>
      <c r="B351" s="1966" t="s">
        <v>2000</v>
      </c>
      <c r="C351" s="1967" t="s">
        <v>2004</v>
      </c>
      <c r="D351" s="333" t="s">
        <v>48</v>
      </c>
      <c r="E351" s="1968">
        <v>5.62</v>
      </c>
      <c r="F351" s="351">
        <f t="shared" si="43"/>
        <v>9.02</v>
      </c>
      <c r="G351" s="1704">
        <v>9.0250000000000004</v>
      </c>
      <c r="H351" s="352">
        <f t="shared" si="44"/>
        <v>6.86</v>
      </c>
      <c r="I351" s="169">
        <f t="shared" si="45"/>
        <v>61.87</v>
      </c>
      <c r="J351" s="959">
        <f>'COMP ETE'!F23</f>
        <v>5.0599999999999996</v>
      </c>
      <c r="K351" s="632"/>
    </row>
    <row r="352" spans="1:11" ht="48.75" customHeight="1">
      <c r="A352" s="389" t="s">
        <v>1376</v>
      </c>
      <c r="B352" s="1966">
        <v>97096</v>
      </c>
      <c r="C352" s="1969" t="s">
        <v>2414</v>
      </c>
      <c r="D352" s="1970" t="s">
        <v>49</v>
      </c>
      <c r="E352" s="1968">
        <v>713.97</v>
      </c>
      <c r="F352" s="351">
        <f t="shared" si="43"/>
        <v>1.44</v>
      </c>
      <c r="G352" s="1704">
        <v>1.4419999999999999</v>
      </c>
      <c r="H352" s="352">
        <f t="shared" si="44"/>
        <v>872.68</v>
      </c>
      <c r="I352" s="169">
        <f t="shared" si="45"/>
        <v>1256.6500000000001</v>
      </c>
      <c r="J352" s="576"/>
      <c r="K352" s="244"/>
    </row>
    <row r="353" spans="1:12" ht="49.5" customHeight="1">
      <c r="A353" s="389" t="s">
        <v>1377</v>
      </c>
      <c r="B353" s="1966">
        <v>92783</v>
      </c>
      <c r="C353" s="1969" t="s">
        <v>1997</v>
      </c>
      <c r="D353" s="333" t="s">
        <v>104</v>
      </c>
      <c r="E353" s="1968">
        <v>18.78</v>
      </c>
      <c r="F353" s="351">
        <f t="shared" si="43"/>
        <v>75.53</v>
      </c>
      <c r="G353" s="1704">
        <v>75.53</v>
      </c>
      <c r="H353" s="352">
        <f t="shared" si="44"/>
        <v>22.95</v>
      </c>
      <c r="I353" s="169">
        <f t="shared" si="45"/>
        <v>1733.41</v>
      </c>
      <c r="J353" s="576"/>
      <c r="K353" s="632" t="s">
        <v>1998</v>
      </c>
    </row>
    <row r="354" spans="1:12" ht="45.75" customHeight="1">
      <c r="A354" s="389" t="s">
        <v>1378</v>
      </c>
      <c r="B354" s="254">
        <v>92522</v>
      </c>
      <c r="C354" s="147" t="s">
        <v>1803</v>
      </c>
      <c r="D354" s="254" t="s">
        <v>48</v>
      </c>
      <c r="E354" s="1576">
        <v>41.65</v>
      </c>
      <c r="F354" s="351">
        <f t="shared" si="43"/>
        <v>5.39</v>
      </c>
      <c r="G354" s="1712">
        <v>5.39</v>
      </c>
      <c r="H354" s="352">
        <f t="shared" si="44"/>
        <v>50.9</v>
      </c>
      <c r="I354" s="169">
        <f t="shared" si="45"/>
        <v>274.35000000000002</v>
      </c>
      <c r="J354" s="576"/>
      <c r="K354" s="244"/>
    </row>
    <row r="355" spans="1:12" ht="20.25" customHeight="1">
      <c r="A355" s="389" t="s">
        <v>1379</v>
      </c>
      <c r="B355" s="146">
        <v>96995</v>
      </c>
      <c r="C355" s="706" t="s">
        <v>437</v>
      </c>
      <c r="D355" s="323" t="s">
        <v>49</v>
      </c>
      <c r="E355" s="1575">
        <v>42.74</v>
      </c>
      <c r="F355" s="351">
        <f t="shared" si="43"/>
        <v>7.77</v>
      </c>
      <c r="G355" s="1712">
        <v>7.77</v>
      </c>
      <c r="H355" s="352">
        <f t="shared" si="44"/>
        <v>52.24</v>
      </c>
      <c r="I355" s="169">
        <f t="shared" si="45"/>
        <v>405.9</v>
      </c>
      <c r="J355" s="537"/>
      <c r="K355" s="244"/>
    </row>
    <row r="356" spans="1:12" ht="61.5" customHeight="1">
      <c r="A356" s="2005" t="s">
        <v>1380</v>
      </c>
      <c r="B356" s="2006">
        <v>103318</v>
      </c>
      <c r="C356" s="1318" t="s">
        <v>2416</v>
      </c>
      <c r="D356" s="2006" t="s">
        <v>48</v>
      </c>
      <c r="E356" s="2007">
        <v>85.27</v>
      </c>
      <c r="F356" s="2008">
        <f t="shared" si="43"/>
        <v>18.7</v>
      </c>
      <c r="G356" s="2009">
        <v>18.7</v>
      </c>
      <c r="H356" s="2010">
        <f t="shared" si="44"/>
        <v>104.22</v>
      </c>
      <c r="I356" s="2011">
        <f t="shared" si="45"/>
        <v>1948.91</v>
      </c>
      <c r="J356" s="537"/>
      <c r="K356" s="632" t="s">
        <v>2002</v>
      </c>
    </row>
    <row r="357" spans="1:12" ht="48.75" customHeight="1">
      <c r="A357" s="389" t="s">
        <v>1381</v>
      </c>
      <c r="B357" s="1966">
        <v>87893</v>
      </c>
      <c r="C357" s="1969" t="s">
        <v>2144</v>
      </c>
      <c r="D357" s="333" t="s">
        <v>48</v>
      </c>
      <c r="E357" s="1578">
        <v>6.49</v>
      </c>
      <c r="F357" s="351">
        <f t="shared" si="43"/>
        <v>24.95</v>
      </c>
      <c r="G357" s="1704">
        <v>24.95</v>
      </c>
      <c r="H357" s="352">
        <f t="shared" si="44"/>
        <v>7.93</v>
      </c>
      <c r="I357" s="169">
        <f t="shared" si="45"/>
        <v>197.85</v>
      </c>
      <c r="J357" s="417"/>
      <c r="K357" s="1494"/>
      <c r="L357" s="1494"/>
    </row>
    <row r="358" spans="1:12" ht="28.5">
      <c r="A358" s="389" t="s">
        <v>1382</v>
      </c>
      <c r="B358" s="1966">
        <v>98115</v>
      </c>
      <c r="C358" s="147" t="s">
        <v>2112</v>
      </c>
      <c r="D358" s="180" t="s">
        <v>57</v>
      </c>
      <c r="E358" s="1968">
        <v>140.49</v>
      </c>
      <c r="F358" s="351">
        <f>IF(OR(E358&lt;=0)," ",TRUNC(G358,2))</f>
        <v>4</v>
      </c>
      <c r="G358" s="1790">
        <v>4</v>
      </c>
      <c r="H358" s="352">
        <f t="shared" si="44"/>
        <v>171.72</v>
      </c>
      <c r="I358" s="169">
        <f t="shared" si="45"/>
        <v>686.88</v>
      </c>
      <c r="J358" s="956"/>
      <c r="K358" s="577"/>
    </row>
    <row r="359" spans="1:12" ht="17.25" customHeight="1">
      <c r="A359" s="389" t="s">
        <v>1383</v>
      </c>
      <c r="B359" s="1971" t="s">
        <v>2001</v>
      </c>
      <c r="C359" s="1969" t="s">
        <v>2267</v>
      </c>
      <c r="D359" s="333" t="s">
        <v>56</v>
      </c>
      <c r="E359" s="1578">
        <v>25.4</v>
      </c>
      <c r="F359" s="351">
        <f t="shared" si="43"/>
        <v>5.0999999999999996</v>
      </c>
      <c r="G359" s="1704">
        <v>5.0999999999999996</v>
      </c>
      <c r="H359" s="352">
        <f t="shared" si="44"/>
        <v>31.04</v>
      </c>
      <c r="I359" s="169">
        <f t="shared" si="45"/>
        <v>158.30000000000001</v>
      </c>
      <c r="J359" s="563">
        <f>'COMP ETE'!F39</f>
        <v>29.490000000000002</v>
      </c>
      <c r="K359" s="418" t="s">
        <v>2268</v>
      </c>
    </row>
    <row r="360" spans="1:12" ht="15.75" customHeight="1">
      <c r="A360" s="2005" t="s">
        <v>1384</v>
      </c>
      <c r="B360" s="2019" t="s">
        <v>476</v>
      </c>
      <c r="C360" s="1318" t="s">
        <v>2417</v>
      </c>
      <c r="D360" s="2020" t="s">
        <v>49</v>
      </c>
      <c r="E360" s="2007">
        <v>123.12</v>
      </c>
      <c r="F360" s="2008">
        <f t="shared" si="43"/>
        <v>1.36</v>
      </c>
      <c r="G360" s="2009">
        <v>1.36</v>
      </c>
      <c r="H360" s="2010">
        <f t="shared" si="44"/>
        <v>150.47999999999999</v>
      </c>
      <c r="I360" s="2011">
        <f t="shared" si="45"/>
        <v>204.65</v>
      </c>
      <c r="J360" s="537"/>
      <c r="K360" s="418"/>
    </row>
    <row r="361" spans="1:12" ht="15.75" thickBot="1">
      <c r="A361" s="385"/>
      <c r="B361" s="173"/>
      <c r="C361" s="1713"/>
      <c r="D361" s="173"/>
      <c r="E361" s="1573"/>
      <c r="F361" s="988" t="str">
        <f>IF(OR(E361&lt;=0)," ",TRUNC(G361,2))</f>
        <v xml:space="preserve"> </v>
      </c>
      <c r="G361" s="1711"/>
      <c r="H361" s="980" t="s">
        <v>16</v>
      </c>
      <c r="I361" s="176">
        <f>TRUNC(SUM(I349:I360),2)</f>
        <v>10011.43</v>
      </c>
      <c r="J361" s="537"/>
      <c r="K361" s="244"/>
    </row>
    <row r="362" spans="1:12">
      <c r="A362" s="593">
        <v>16</v>
      </c>
      <c r="B362" s="594"/>
      <c r="C362" s="595" t="s">
        <v>2119</v>
      </c>
      <c r="D362" s="596"/>
      <c r="E362" s="1586"/>
      <c r="F362" s="981"/>
      <c r="G362" s="982"/>
      <c r="H362" s="982"/>
      <c r="I362" s="599"/>
      <c r="J362" s="476"/>
      <c r="K362" s="125"/>
    </row>
    <row r="363" spans="1:12" ht="28.5">
      <c r="A363" s="211" t="s">
        <v>162</v>
      </c>
      <c r="B363" s="579" t="s">
        <v>2115</v>
      </c>
      <c r="C363" s="257" t="s">
        <v>2114</v>
      </c>
      <c r="D363" s="166" t="s">
        <v>48</v>
      </c>
      <c r="E363" s="1576">
        <v>541.64</v>
      </c>
      <c r="F363" s="351">
        <f t="shared" ref="F363:F368" si="46">IF(OR(E363&lt;=0)," ",TRUNC(G363,2))</f>
        <v>2.4</v>
      </c>
      <c r="G363" s="975">
        <v>2.4</v>
      </c>
      <c r="H363" s="352">
        <f t="shared" ref="H363:H368" si="47">IF(OR(E363&lt;=0)," ",TRUNC((E363*(1+$I$10)),2))</f>
        <v>662.04</v>
      </c>
      <c r="I363" s="169">
        <f t="shared" ref="I363:I368" si="48">IF(OR(E363&lt;=0)," ",TRUNC((H363*F363),2))</f>
        <v>1588.89</v>
      </c>
      <c r="J363" s="856">
        <f>'COMP CIVIL'!F451</f>
        <v>716.13999999999987</v>
      </c>
      <c r="K363" s="648"/>
    </row>
    <row r="364" spans="1:12" ht="33" customHeight="1">
      <c r="A364" s="211" t="s">
        <v>2120</v>
      </c>
      <c r="B364" s="579">
        <v>100862</v>
      </c>
      <c r="C364" s="147" t="s">
        <v>2124</v>
      </c>
      <c r="D364" s="333" t="s">
        <v>57</v>
      </c>
      <c r="E364" s="1576">
        <v>42.46</v>
      </c>
      <c r="F364" s="960">
        <f t="shared" si="46"/>
        <v>4</v>
      </c>
      <c r="G364" s="975">
        <v>4</v>
      </c>
      <c r="H364" s="352">
        <f t="shared" si="47"/>
        <v>51.89</v>
      </c>
      <c r="I364" s="169">
        <f t="shared" si="48"/>
        <v>207.56</v>
      </c>
      <c r="J364" s="856"/>
      <c r="K364" s="648"/>
    </row>
    <row r="365" spans="1:12" ht="31.5" customHeight="1">
      <c r="A365" s="211" t="s">
        <v>190</v>
      </c>
      <c r="B365" s="579" t="s">
        <v>2121</v>
      </c>
      <c r="C365" s="257" t="s">
        <v>1728</v>
      </c>
      <c r="D365" s="166" t="s">
        <v>56</v>
      </c>
      <c r="E365" s="1576">
        <v>67.42</v>
      </c>
      <c r="F365" s="960">
        <f t="shared" si="46"/>
        <v>7</v>
      </c>
      <c r="G365" s="975">
        <v>7</v>
      </c>
      <c r="H365" s="581">
        <f t="shared" si="47"/>
        <v>82.4</v>
      </c>
      <c r="I365" s="214">
        <f t="shared" si="48"/>
        <v>576.79999999999995</v>
      </c>
      <c r="J365" s="856">
        <f>'COMP CIVIL'!F464</f>
        <v>78.27</v>
      </c>
      <c r="K365" s="964"/>
    </row>
    <row r="366" spans="1:12" ht="17.25" customHeight="1">
      <c r="A366" s="211" t="s">
        <v>1480</v>
      </c>
      <c r="B366" s="579" t="s">
        <v>2122</v>
      </c>
      <c r="C366" s="257" t="s">
        <v>2125</v>
      </c>
      <c r="D366" s="329" t="s">
        <v>48</v>
      </c>
      <c r="E366" s="1574">
        <v>261.08</v>
      </c>
      <c r="F366" s="960">
        <f t="shared" si="46"/>
        <v>0.03</v>
      </c>
      <c r="G366" s="1001">
        <v>3.5999999999999997E-2</v>
      </c>
      <c r="H366" s="581">
        <f t="shared" si="47"/>
        <v>319.11</v>
      </c>
      <c r="I366" s="214">
        <f t="shared" si="48"/>
        <v>9.57</v>
      </c>
      <c r="J366" s="856">
        <f>'COMP CIVIL'!F479</f>
        <v>306.94</v>
      </c>
      <c r="K366" s="648"/>
    </row>
    <row r="367" spans="1:12" ht="47.25" customHeight="1">
      <c r="A367" s="211" t="s">
        <v>2130</v>
      </c>
      <c r="B367" s="715">
        <v>102253</v>
      </c>
      <c r="C367" s="147" t="s">
        <v>2123</v>
      </c>
      <c r="D367" s="333" t="s">
        <v>48</v>
      </c>
      <c r="E367" s="1574">
        <v>765.92</v>
      </c>
      <c r="F367" s="960">
        <f t="shared" si="46"/>
        <v>6.34</v>
      </c>
      <c r="G367" s="976">
        <v>6.34</v>
      </c>
      <c r="H367" s="581">
        <f t="shared" si="47"/>
        <v>936.18</v>
      </c>
      <c r="I367" s="214">
        <f t="shared" si="48"/>
        <v>5935.38</v>
      </c>
      <c r="J367" s="301"/>
      <c r="K367" s="648"/>
    </row>
    <row r="368" spans="1:12">
      <c r="A368" s="211" t="s">
        <v>2131</v>
      </c>
      <c r="B368" s="146" t="s">
        <v>1748</v>
      </c>
      <c r="C368" s="147" t="s">
        <v>767</v>
      </c>
      <c r="D368" s="329" t="s">
        <v>48</v>
      </c>
      <c r="E368" s="1576">
        <v>546.01</v>
      </c>
      <c r="F368" s="960">
        <f t="shared" si="46"/>
        <v>0.42</v>
      </c>
      <c r="G368" s="976">
        <v>0.42</v>
      </c>
      <c r="H368" s="581">
        <f t="shared" si="47"/>
        <v>667.38</v>
      </c>
      <c r="I368" s="214">
        <f t="shared" si="48"/>
        <v>280.29000000000002</v>
      </c>
      <c r="J368" s="856">
        <f>'COMP CIVIL'!F438</f>
        <v>725</v>
      </c>
      <c r="K368" s="648"/>
    </row>
    <row r="369" spans="1:11" ht="15.75" thickBot="1">
      <c r="A369" s="170"/>
      <c r="B369" s="173"/>
      <c r="C369" s="173"/>
      <c r="D369" s="173"/>
      <c r="E369" s="1573"/>
      <c r="F369" s="978"/>
      <c r="G369" s="979"/>
      <c r="H369" s="980" t="s">
        <v>16</v>
      </c>
      <c r="I369" s="176">
        <f>TRUNC(SUM(I363:I368),2)</f>
        <v>8598.49</v>
      </c>
      <c r="J369" s="301"/>
      <c r="K369" s="648"/>
    </row>
    <row r="370" spans="1:11" ht="13.5" customHeight="1">
      <c r="A370" s="593">
        <v>17</v>
      </c>
      <c r="B370" s="594"/>
      <c r="C370" s="1359" t="s">
        <v>652</v>
      </c>
      <c r="D370" s="236"/>
      <c r="E370" s="1585"/>
      <c r="F370" s="1002" t="str">
        <f>IF(OR(E370&lt;=0)," ",TRUNC(G370,2))</f>
        <v xml:space="preserve"> </v>
      </c>
      <c r="G370" s="1002"/>
      <c r="H370" s="1002" t="str">
        <f>IF(OR(E370&lt;=0)," ",TRUNC((E370*(1+$I$10)),2))</f>
        <v xml:space="preserve"> </v>
      </c>
      <c r="I370" s="148" t="str">
        <f>IF(OR(E370&lt;=0)," ",TRUNC((H370*F370),2))</f>
        <v xml:space="preserve"> </v>
      </c>
      <c r="J370" s="541"/>
      <c r="K370" s="125"/>
    </row>
    <row r="371" spans="1:11" ht="14.25" customHeight="1" thickBot="1">
      <c r="A371" s="1714" t="s">
        <v>191</v>
      </c>
      <c r="B371" s="1715"/>
      <c r="C371" s="1716" t="s">
        <v>654</v>
      </c>
      <c r="D371" s="1717"/>
      <c r="E371" s="1718"/>
      <c r="F371" s="1719"/>
      <c r="G371" s="1720"/>
      <c r="H371" s="1721"/>
      <c r="I371" s="1722"/>
      <c r="J371" s="708" t="s">
        <v>1410</v>
      </c>
      <c r="K371" s="125"/>
    </row>
    <row r="372" spans="1:11" ht="29.25" thickBot="1">
      <c r="A372" s="508" t="s">
        <v>1457</v>
      </c>
      <c r="B372" s="1946">
        <v>96527</v>
      </c>
      <c r="C372" s="1947" t="s">
        <v>655</v>
      </c>
      <c r="D372" s="1948" t="s">
        <v>49</v>
      </c>
      <c r="E372" s="1949">
        <v>106.42</v>
      </c>
      <c r="F372" s="1950">
        <f>IF(OR(E372&lt;=0)," ",TRUNC(G372,2))</f>
        <v>33.369999999999997</v>
      </c>
      <c r="G372" s="1951">
        <v>33.369999999999997</v>
      </c>
      <c r="H372" s="1952">
        <f t="shared" ref="H372:H405" si="49">IF(OR(E372&lt;=0)," ",TRUNC((E372*(1+$I$10)),2))</f>
        <v>130.07</v>
      </c>
      <c r="I372" s="1953">
        <f t="shared" ref="I372:I385" si="50">IF(OR(E372&lt;=0)," ",TRUNC((H372*F372),2))</f>
        <v>4340.43</v>
      </c>
      <c r="J372" s="541"/>
      <c r="K372" s="645"/>
    </row>
    <row r="373" spans="1:11" ht="19.5" customHeight="1">
      <c r="A373" s="1723" t="s">
        <v>1458</v>
      </c>
      <c r="B373" s="1664">
        <v>96995</v>
      </c>
      <c r="C373" s="1608" t="s">
        <v>437</v>
      </c>
      <c r="D373" s="1763" t="s">
        <v>49</v>
      </c>
      <c r="E373" s="1666">
        <v>42.74</v>
      </c>
      <c r="F373" s="1724">
        <f>IF(OR(E373&lt;=0)," ",TRUNC(G373,2))</f>
        <v>24.27</v>
      </c>
      <c r="G373" s="1725">
        <v>24.27</v>
      </c>
      <c r="H373" s="1634">
        <f t="shared" si="49"/>
        <v>52.24</v>
      </c>
      <c r="I373" s="1635">
        <f t="shared" si="50"/>
        <v>1267.8599999999999</v>
      </c>
      <c r="J373" s="541"/>
      <c r="K373" s="645"/>
    </row>
    <row r="374" spans="1:11" ht="33" customHeight="1">
      <c r="A374" s="211" t="s">
        <v>1459</v>
      </c>
      <c r="B374" s="254">
        <v>96536</v>
      </c>
      <c r="C374" s="147" t="s">
        <v>447</v>
      </c>
      <c r="D374" s="254" t="s">
        <v>48</v>
      </c>
      <c r="E374" s="1576">
        <v>67.81</v>
      </c>
      <c r="F374" s="1777">
        <f t="shared" ref="F374:F385" si="51">IF(OR(E374&lt;=0)," ",TRUNC(G374,2))</f>
        <v>133</v>
      </c>
      <c r="G374" s="1589">
        <v>133</v>
      </c>
      <c r="H374" s="1500">
        <f t="shared" si="49"/>
        <v>82.88</v>
      </c>
      <c r="I374" s="1511">
        <f t="shared" si="50"/>
        <v>11023.04</v>
      </c>
      <c r="J374" s="541"/>
      <c r="K374" s="645"/>
    </row>
    <row r="375" spans="1:11" ht="30.75" customHeight="1">
      <c r="A375" s="211" t="s">
        <v>1460</v>
      </c>
      <c r="B375" s="254">
        <v>94965</v>
      </c>
      <c r="C375" s="1764" t="s">
        <v>444</v>
      </c>
      <c r="D375" s="1726" t="s">
        <v>49</v>
      </c>
      <c r="E375" s="1576">
        <v>475.49</v>
      </c>
      <c r="F375" s="1777">
        <f t="shared" si="51"/>
        <v>9.1</v>
      </c>
      <c r="G375" s="1589">
        <v>9.1</v>
      </c>
      <c r="H375" s="1500">
        <f t="shared" si="49"/>
        <v>581.19000000000005</v>
      </c>
      <c r="I375" s="1511">
        <f t="shared" si="50"/>
        <v>5288.82</v>
      </c>
      <c r="J375" s="541"/>
      <c r="K375" s="645"/>
    </row>
    <row r="376" spans="1:11" ht="33" customHeight="1">
      <c r="A376" s="211" t="s">
        <v>1461</v>
      </c>
      <c r="B376" s="254">
        <v>103673</v>
      </c>
      <c r="C376" s="147" t="s">
        <v>445</v>
      </c>
      <c r="D376" s="1726" t="s">
        <v>49</v>
      </c>
      <c r="E376" s="1576">
        <v>34.11</v>
      </c>
      <c r="F376" s="1777">
        <f t="shared" si="51"/>
        <v>9.1</v>
      </c>
      <c r="G376" s="1589">
        <v>9.1</v>
      </c>
      <c r="H376" s="1500">
        <f t="shared" si="49"/>
        <v>41.69</v>
      </c>
      <c r="I376" s="1511">
        <f t="shared" si="50"/>
        <v>379.37</v>
      </c>
      <c r="J376" s="541"/>
      <c r="K376" s="645"/>
    </row>
    <row r="377" spans="1:11" ht="33" customHeight="1">
      <c r="A377" s="211" t="s">
        <v>1462</v>
      </c>
      <c r="B377" s="254">
        <v>96543</v>
      </c>
      <c r="C377" s="147" t="s">
        <v>446</v>
      </c>
      <c r="D377" s="254" t="s">
        <v>104</v>
      </c>
      <c r="E377" s="1576">
        <v>18.89</v>
      </c>
      <c r="F377" s="1727">
        <f t="shared" si="51"/>
        <v>239</v>
      </c>
      <c r="G377" s="1955">
        <v>239</v>
      </c>
      <c r="H377" s="1510">
        <f t="shared" si="49"/>
        <v>23.08</v>
      </c>
      <c r="I377" s="1511">
        <f t="shared" si="50"/>
        <v>5516.12</v>
      </c>
      <c r="J377" s="541"/>
      <c r="K377" s="645"/>
    </row>
    <row r="378" spans="1:11" ht="46.5" customHeight="1">
      <c r="A378" s="211" t="s">
        <v>1463</v>
      </c>
      <c r="B378" s="254">
        <v>92778</v>
      </c>
      <c r="C378" s="147" t="s">
        <v>454</v>
      </c>
      <c r="D378" s="254" t="s">
        <v>104</v>
      </c>
      <c r="E378" s="1576">
        <v>14.92</v>
      </c>
      <c r="F378" s="1727">
        <f t="shared" si="51"/>
        <v>483</v>
      </c>
      <c r="G378" s="1955">
        <v>483</v>
      </c>
      <c r="H378" s="1510">
        <f t="shared" si="49"/>
        <v>18.23</v>
      </c>
      <c r="I378" s="1511">
        <f t="shared" si="50"/>
        <v>8805.09</v>
      </c>
      <c r="J378" s="582"/>
      <c r="K378" s="582"/>
    </row>
    <row r="379" spans="1:11" ht="46.5" customHeight="1" thickBot="1">
      <c r="A379" s="1749" t="s">
        <v>1798</v>
      </c>
      <c r="B379" s="173">
        <v>98562</v>
      </c>
      <c r="C379" s="1646" t="s">
        <v>1799</v>
      </c>
      <c r="D379" s="173" t="s">
        <v>48</v>
      </c>
      <c r="E379" s="1573">
        <v>38.42</v>
      </c>
      <c r="F379" s="1739">
        <f t="shared" si="51"/>
        <v>136.72999999999999</v>
      </c>
      <c r="G379" s="1956">
        <v>136.72999999999999</v>
      </c>
      <c r="H379" s="1692">
        <f t="shared" si="49"/>
        <v>46.96</v>
      </c>
      <c r="I379" s="1648">
        <f t="shared" si="50"/>
        <v>6420.84</v>
      </c>
      <c r="J379" s="582"/>
      <c r="K379" s="582"/>
    </row>
    <row r="380" spans="1:11" ht="16.5" customHeight="1">
      <c r="A380" s="1929" t="s">
        <v>419</v>
      </c>
      <c r="B380" s="572"/>
      <c r="C380" s="1954" t="s">
        <v>2173</v>
      </c>
      <c r="D380" s="1931"/>
      <c r="E380" s="998"/>
      <c r="F380" s="1932"/>
      <c r="G380" s="999"/>
      <c r="H380" s="1933"/>
      <c r="I380" s="1934"/>
      <c r="J380" s="708"/>
      <c r="K380" s="125"/>
    </row>
    <row r="381" spans="1:11" ht="33.75" customHeight="1">
      <c r="A381" s="211" t="s">
        <v>2274</v>
      </c>
      <c r="B381" s="1597">
        <v>96534</v>
      </c>
      <c r="C381" s="1613" t="s">
        <v>657</v>
      </c>
      <c r="D381" s="1597" t="s">
        <v>48</v>
      </c>
      <c r="E381" s="1578">
        <v>78.453000000000003</v>
      </c>
      <c r="F381" s="1727">
        <f t="shared" si="51"/>
        <v>102.9</v>
      </c>
      <c r="G381" s="1589">
        <v>102.9</v>
      </c>
      <c r="H381" s="1510">
        <f t="shared" si="49"/>
        <v>95.89</v>
      </c>
      <c r="I381" s="1511">
        <f t="shared" si="50"/>
        <v>9867.08</v>
      </c>
      <c r="J381" s="541"/>
      <c r="K381" s="583"/>
    </row>
    <row r="382" spans="1:11" ht="35.25" customHeight="1">
      <c r="A382" s="211" t="s">
        <v>2275</v>
      </c>
      <c r="B382" s="1597">
        <v>94965</v>
      </c>
      <c r="C382" s="1548" t="s">
        <v>444</v>
      </c>
      <c r="D382" s="1726" t="s">
        <v>49</v>
      </c>
      <c r="E382" s="1592">
        <v>475.49</v>
      </c>
      <c r="F382" s="1727">
        <f t="shared" si="51"/>
        <v>8.82</v>
      </c>
      <c r="G382" s="1589">
        <v>8.82</v>
      </c>
      <c r="H382" s="1510">
        <f t="shared" si="49"/>
        <v>581.19000000000005</v>
      </c>
      <c r="I382" s="1511">
        <f t="shared" si="50"/>
        <v>5126.09</v>
      </c>
      <c r="J382" s="541"/>
      <c r="K382" s="583"/>
    </row>
    <row r="383" spans="1:11" ht="33" customHeight="1">
      <c r="A383" s="211" t="s">
        <v>2276</v>
      </c>
      <c r="B383" s="1597">
        <v>103673</v>
      </c>
      <c r="C383" s="1613" t="s">
        <v>445</v>
      </c>
      <c r="D383" s="1726" t="s">
        <v>49</v>
      </c>
      <c r="E383" s="1592">
        <v>34.11</v>
      </c>
      <c r="F383" s="1727">
        <f t="shared" si="51"/>
        <v>8.82</v>
      </c>
      <c r="G383" s="1589">
        <v>8.82</v>
      </c>
      <c r="H383" s="1510">
        <f t="shared" si="49"/>
        <v>41.69</v>
      </c>
      <c r="I383" s="1511">
        <f t="shared" si="50"/>
        <v>367.7</v>
      </c>
      <c r="J383" s="541"/>
      <c r="K383" s="583"/>
    </row>
    <row r="384" spans="1:11" ht="35.25" customHeight="1">
      <c r="A384" s="211" t="s">
        <v>1464</v>
      </c>
      <c r="B384" s="1597">
        <v>96543</v>
      </c>
      <c r="C384" s="1613" t="s">
        <v>658</v>
      </c>
      <c r="D384" s="1709" t="s">
        <v>104</v>
      </c>
      <c r="E384" s="1592">
        <v>18.89</v>
      </c>
      <c r="F384" s="1727">
        <f t="shared" si="51"/>
        <v>158.71</v>
      </c>
      <c r="G384" s="1589">
        <v>158.71</v>
      </c>
      <c r="H384" s="1510">
        <f t="shared" si="49"/>
        <v>23.08</v>
      </c>
      <c r="I384" s="1511">
        <f t="shared" si="50"/>
        <v>3663.02</v>
      </c>
      <c r="J384" s="541"/>
      <c r="K384" s="582">
        <f>SUM(I381:J384)</f>
        <v>19023.89</v>
      </c>
    </row>
    <row r="385" spans="1:12" ht="33.75" customHeight="1">
      <c r="A385" s="211" t="s">
        <v>2315</v>
      </c>
      <c r="B385" s="1597">
        <v>96546</v>
      </c>
      <c r="C385" s="1613" t="s">
        <v>2316</v>
      </c>
      <c r="D385" s="1709" t="s">
        <v>104</v>
      </c>
      <c r="E385" s="1592">
        <v>15.01</v>
      </c>
      <c r="F385" s="1727">
        <f t="shared" si="51"/>
        <v>105.2</v>
      </c>
      <c r="G385" s="1589">
        <v>105.2</v>
      </c>
      <c r="H385" s="1510">
        <f t="shared" si="49"/>
        <v>18.34</v>
      </c>
      <c r="I385" s="1511">
        <f t="shared" si="50"/>
        <v>1929.36</v>
      </c>
      <c r="J385" s="1515"/>
      <c r="K385" s="582"/>
    </row>
    <row r="386" spans="1:12" ht="14.25" customHeight="1">
      <c r="A386" s="580" t="s">
        <v>477</v>
      </c>
      <c r="B386" s="1728"/>
      <c r="C386" s="1729" t="s">
        <v>1796</v>
      </c>
      <c r="D386" s="1730"/>
      <c r="E386" s="1731"/>
      <c r="F386" s="1732"/>
      <c r="G386" s="1733"/>
      <c r="H386" s="1734"/>
      <c r="I386" s="1735"/>
      <c r="J386" s="708"/>
      <c r="K386" s="125"/>
    </row>
    <row r="387" spans="1:12" ht="36" customHeight="1">
      <c r="A387" s="211" t="s">
        <v>1465</v>
      </c>
      <c r="B387" s="1597">
        <v>101173</v>
      </c>
      <c r="C387" s="1613" t="s">
        <v>659</v>
      </c>
      <c r="D387" s="1597" t="s">
        <v>56</v>
      </c>
      <c r="E387" s="1578">
        <v>58.07</v>
      </c>
      <c r="F387" s="1727">
        <f t="shared" ref="F387:F405" si="52">IF(OR(E387&lt;=0)," ",TRUNC(G387,2))</f>
        <v>98</v>
      </c>
      <c r="G387" s="1589">
        <v>98</v>
      </c>
      <c r="H387" s="1510">
        <f t="shared" si="49"/>
        <v>70.97</v>
      </c>
      <c r="I387" s="1511">
        <f t="shared" ref="I387:I405" si="53">IF(OR(E387&lt;=0)," ",TRUNC((H387*F387),2))</f>
        <v>6955.06</v>
      </c>
      <c r="J387" s="541"/>
      <c r="K387" s="646"/>
      <c r="L387" s="647"/>
    </row>
    <row r="388" spans="1:12" ht="35.25" customHeight="1">
      <c r="A388" s="211" t="s">
        <v>1466</v>
      </c>
      <c r="B388" s="1597">
        <v>94965</v>
      </c>
      <c r="C388" s="1548" t="s">
        <v>444</v>
      </c>
      <c r="D388" s="1726" t="s">
        <v>49</v>
      </c>
      <c r="E388" s="1592">
        <v>475.49</v>
      </c>
      <c r="F388" s="1727">
        <f t="shared" si="52"/>
        <v>3.08</v>
      </c>
      <c r="G388" s="1589">
        <v>3.08</v>
      </c>
      <c r="H388" s="1510">
        <f t="shared" si="49"/>
        <v>581.19000000000005</v>
      </c>
      <c r="I388" s="1511">
        <f t="shared" si="53"/>
        <v>1790.06</v>
      </c>
      <c r="J388" s="541"/>
      <c r="K388" s="125"/>
    </row>
    <row r="389" spans="1:12" ht="33" customHeight="1">
      <c r="A389" s="211" t="s">
        <v>1467</v>
      </c>
      <c r="B389" s="1597">
        <v>103673</v>
      </c>
      <c r="C389" s="1613" t="s">
        <v>445</v>
      </c>
      <c r="D389" s="1726" t="s">
        <v>49</v>
      </c>
      <c r="E389" s="1592">
        <v>34.11</v>
      </c>
      <c r="F389" s="1727">
        <f t="shared" si="52"/>
        <v>3.08</v>
      </c>
      <c r="G389" s="1589">
        <v>3.08</v>
      </c>
      <c r="H389" s="1510">
        <f t="shared" si="49"/>
        <v>41.69</v>
      </c>
      <c r="I389" s="1511">
        <f t="shared" si="53"/>
        <v>128.4</v>
      </c>
      <c r="J389" s="541"/>
      <c r="K389" s="125"/>
    </row>
    <row r="390" spans="1:12" ht="33.75" customHeight="1">
      <c r="A390" s="211" t="s">
        <v>1468</v>
      </c>
      <c r="B390" s="1547">
        <v>95583</v>
      </c>
      <c r="C390" s="1613" t="s">
        <v>660</v>
      </c>
      <c r="D390" s="1709" t="s">
        <v>104</v>
      </c>
      <c r="E390" s="1578">
        <v>15.82</v>
      </c>
      <c r="F390" s="1727">
        <f t="shared" si="52"/>
        <v>68.400000000000006</v>
      </c>
      <c r="G390" s="1589">
        <v>68.400000000000006</v>
      </c>
      <c r="H390" s="1510">
        <f t="shared" si="49"/>
        <v>19.329999999999998</v>
      </c>
      <c r="I390" s="1511">
        <f t="shared" si="53"/>
        <v>1322.17</v>
      </c>
      <c r="J390" s="541"/>
      <c r="K390" s="125"/>
    </row>
    <row r="391" spans="1:12" ht="32.25" customHeight="1" thickBot="1">
      <c r="A391" s="1927" t="s">
        <v>1469</v>
      </c>
      <c r="B391" s="1498">
        <v>95577</v>
      </c>
      <c r="C391" s="1637" t="s">
        <v>661</v>
      </c>
      <c r="D391" s="1928" t="s">
        <v>104</v>
      </c>
      <c r="E391" s="1578">
        <v>13.1</v>
      </c>
      <c r="F391" s="1737">
        <f t="shared" si="52"/>
        <v>361.41</v>
      </c>
      <c r="G391" s="1589">
        <v>361.41</v>
      </c>
      <c r="H391" s="1510">
        <f t="shared" si="49"/>
        <v>16.010000000000002</v>
      </c>
      <c r="I391" s="1511">
        <f t="shared" si="53"/>
        <v>5786.17</v>
      </c>
      <c r="J391" s="582"/>
      <c r="K391" s="582"/>
    </row>
    <row r="392" spans="1:12" ht="14.25" customHeight="1">
      <c r="A392" s="1935" t="s">
        <v>651</v>
      </c>
      <c r="B392" s="1936"/>
      <c r="C392" s="1937" t="s">
        <v>1394</v>
      </c>
      <c r="D392" s="1938"/>
      <c r="E392" s="1939"/>
      <c r="F392" s="1940" t="str">
        <f t="shared" si="52"/>
        <v xml:space="preserve"> </v>
      </c>
      <c r="G392" s="1941"/>
      <c r="H392" s="1942" t="str">
        <f t="shared" si="49"/>
        <v xml:space="preserve"> </v>
      </c>
      <c r="I392" s="1943" t="str">
        <f t="shared" si="53"/>
        <v xml:space="preserve"> </v>
      </c>
      <c r="J392" s="708"/>
      <c r="K392" s="125"/>
    </row>
    <row r="393" spans="1:12" ht="62.25" customHeight="1" thickBot="1">
      <c r="A393" s="1749" t="s">
        <v>1470</v>
      </c>
      <c r="B393" s="173">
        <v>92427</v>
      </c>
      <c r="C393" s="1646" t="s">
        <v>662</v>
      </c>
      <c r="D393" s="173" t="s">
        <v>48</v>
      </c>
      <c r="E393" s="1573">
        <v>59.36</v>
      </c>
      <c r="F393" s="1945">
        <f t="shared" si="52"/>
        <v>101.25</v>
      </c>
      <c r="G393" s="1647">
        <v>101.25</v>
      </c>
      <c r="H393" s="979">
        <f t="shared" si="49"/>
        <v>72.55</v>
      </c>
      <c r="I393" s="1648">
        <f t="shared" si="53"/>
        <v>7345.68</v>
      </c>
      <c r="J393" s="541"/>
      <c r="K393" s="125"/>
    </row>
    <row r="394" spans="1:12" ht="36.75" customHeight="1">
      <c r="A394" s="1723" t="s">
        <v>1471</v>
      </c>
      <c r="B394" s="1607">
        <v>94965</v>
      </c>
      <c r="C394" s="1608" t="s">
        <v>444</v>
      </c>
      <c r="D394" s="1757" t="s">
        <v>49</v>
      </c>
      <c r="E394" s="1579">
        <v>475.49</v>
      </c>
      <c r="F394" s="1724">
        <f t="shared" si="52"/>
        <v>4.95</v>
      </c>
      <c r="G394" s="1610">
        <v>4.95</v>
      </c>
      <c r="H394" s="1611">
        <f t="shared" si="49"/>
        <v>581.19000000000005</v>
      </c>
      <c r="I394" s="1612">
        <f t="shared" si="53"/>
        <v>2876.89</v>
      </c>
      <c r="J394" s="541"/>
      <c r="K394" s="125"/>
    </row>
    <row r="395" spans="1:12" ht="36.75" customHeight="1">
      <c r="A395" s="211" t="s">
        <v>1472</v>
      </c>
      <c r="B395" s="254">
        <v>103673</v>
      </c>
      <c r="C395" s="147" t="s">
        <v>445</v>
      </c>
      <c r="D395" s="204" t="s">
        <v>49</v>
      </c>
      <c r="E395" s="1576">
        <v>34.11</v>
      </c>
      <c r="F395" s="1777">
        <f t="shared" si="52"/>
        <v>4.95</v>
      </c>
      <c r="G395" s="350">
        <v>4.95</v>
      </c>
      <c r="H395" s="352">
        <f t="shared" si="49"/>
        <v>41.69</v>
      </c>
      <c r="I395" s="169">
        <f t="shared" si="53"/>
        <v>206.36</v>
      </c>
      <c r="J395" s="541"/>
      <c r="K395" s="125"/>
    </row>
    <row r="396" spans="1:12" ht="48" customHeight="1">
      <c r="A396" s="211" t="s">
        <v>1473</v>
      </c>
      <c r="B396" s="254">
        <v>92775</v>
      </c>
      <c r="C396" s="147" t="s">
        <v>451</v>
      </c>
      <c r="D396" s="333" t="s">
        <v>104</v>
      </c>
      <c r="E396" s="1576">
        <v>18.91</v>
      </c>
      <c r="F396" s="1777">
        <f t="shared" si="52"/>
        <v>117</v>
      </c>
      <c r="G396" s="350">
        <v>117</v>
      </c>
      <c r="H396" s="352">
        <f t="shared" si="49"/>
        <v>23.11</v>
      </c>
      <c r="I396" s="169">
        <f t="shared" si="53"/>
        <v>2703.87</v>
      </c>
      <c r="J396" s="541"/>
      <c r="K396" s="125"/>
    </row>
    <row r="397" spans="1:12" ht="47.25" customHeight="1" thickBot="1">
      <c r="A397" s="1749" t="s">
        <v>1474</v>
      </c>
      <c r="B397" s="173">
        <v>92778</v>
      </c>
      <c r="C397" s="1646" t="s">
        <v>454</v>
      </c>
      <c r="D397" s="1944" t="s">
        <v>104</v>
      </c>
      <c r="E397" s="1573">
        <v>14.92</v>
      </c>
      <c r="F397" s="1945">
        <f t="shared" si="52"/>
        <v>274.5</v>
      </c>
      <c r="G397" s="1647">
        <v>274.5</v>
      </c>
      <c r="H397" s="979">
        <f t="shared" si="49"/>
        <v>18.23</v>
      </c>
      <c r="I397" s="1648">
        <f t="shared" si="53"/>
        <v>5004.13</v>
      </c>
      <c r="J397" s="582"/>
      <c r="K397" s="582"/>
    </row>
    <row r="398" spans="1:12" ht="14.25" customHeight="1">
      <c r="A398" s="1929" t="s">
        <v>1385</v>
      </c>
      <c r="B398" s="572"/>
      <c r="C398" s="1930" t="s">
        <v>1392</v>
      </c>
      <c r="D398" s="1931"/>
      <c r="E398" s="998"/>
      <c r="F398" s="1932" t="str">
        <f t="shared" si="52"/>
        <v xml:space="preserve"> </v>
      </c>
      <c r="G398" s="999"/>
      <c r="H398" s="1933" t="str">
        <f t="shared" si="49"/>
        <v xml:space="preserve"> </v>
      </c>
      <c r="I398" s="1934" t="str">
        <f t="shared" si="53"/>
        <v xml:space="preserve"> </v>
      </c>
      <c r="J398" s="708" t="s">
        <v>1409</v>
      </c>
      <c r="K398" s="125"/>
    </row>
    <row r="399" spans="1:12" ht="61.5" customHeight="1">
      <c r="A399" s="2012" t="s">
        <v>1475</v>
      </c>
      <c r="B399" s="2013">
        <v>103318</v>
      </c>
      <c r="C399" s="2014" t="s">
        <v>2416</v>
      </c>
      <c r="D399" s="2013" t="s">
        <v>48</v>
      </c>
      <c r="E399" s="2007">
        <v>85.27</v>
      </c>
      <c r="F399" s="2015">
        <f t="shared" si="52"/>
        <v>280.52999999999997</v>
      </c>
      <c r="G399" s="2016">
        <v>280.52999999999997</v>
      </c>
      <c r="H399" s="2017">
        <f t="shared" si="49"/>
        <v>104.22</v>
      </c>
      <c r="I399" s="2018">
        <f t="shared" si="53"/>
        <v>29236.83</v>
      </c>
      <c r="J399" s="541"/>
      <c r="K399" s="646"/>
    </row>
    <row r="400" spans="1:12" ht="47.25" customHeight="1">
      <c r="A400" s="211" t="s">
        <v>1476</v>
      </c>
      <c r="B400" s="1597">
        <v>87894</v>
      </c>
      <c r="C400" s="1613" t="s">
        <v>1807</v>
      </c>
      <c r="D400" s="1597" t="str">
        <f>$D$399</f>
        <v>m²</v>
      </c>
      <c r="E400" s="1578">
        <v>5.99</v>
      </c>
      <c r="F400" s="1727">
        <f t="shared" si="52"/>
        <v>576.85</v>
      </c>
      <c r="G400" s="1589">
        <v>576.85</v>
      </c>
      <c r="H400" s="1510">
        <f t="shared" si="49"/>
        <v>7.32</v>
      </c>
      <c r="I400" s="1511">
        <f t="shared" si="53"/>
        <v>4222.54</v>
      </c>
      <c r="J400" s="819"/>
      <c r="K400" s="387"/>
    </row>
    <row r="401" spans="1:12" ht="45" customHeight="1">
      <c r="A401" s="211" t="s">
        <v>1477</v>
      </c>
      <c r="B401" s="1597">
        <v>87792</v>
      </c>
      <c r="C401" s="1613" t="s">
        <v>664</v>
      </c>
      <c r="D401" s="1597" t="s">
        <v>48</v>
      </c>
      <c r="E401" s="1578">
        <v>35.409999999999997</v>
      </c>
      <c r="F401" s="1727">
        <f t="shared" si="52"/>
        <v>576.85</v>
      </c>
      <c r="G401" s="1589">
        <v>576.85</v>
      </c>
      <c r="H401" s="1510">
        <f t="shared" si="49"/>
        <v>43.28</v>
      </c>
      <c r="I401" s="1511">
        <f t="shared" si="53"/>
        <v>24966.06</v>
      </c>
      <c r="J401" s="582"/>
      <c r="K401" s="582"/>
    </row>
    <row r="402" spans="1:12" ht="18" customHeight="1">
      <c r="A402" s="211" t="s">
        <v>2270</v>
      </c>
      <c r="B402" s="1597" t="s">
        <v>602</v>
      </c>
      <c r="C402" s="1613" t="s">
        <v>1500</v>
      </c>
      <c r="D402" s="1597" t="s">
        <v>48</v>
      </c>
      <c r="E402" s="1578">
        <v>652.07000000000005</v>
      </c>
      <c r="F402" s="1727">
        <f t="shared" si="52"/>
        <v>122.41</v>
      </c>
      <c r="G402" s="1589">
        <v>122.41</v>
      </c>
      <c r="H402" s="1510">
        <f t="shared" si="49"/>
        <v>797.02</v>
      </c>
      <c r="I402" s="1511">
        <f t="shared" si="53"/>
        <v>97563.21</v>
      </c>
      <c r="J402" s="582">
        <f>'COMP CIVIL'!F160</f>
        <v>4680.18</v>
      </c>
      <c r="K402" s="1543"/>
      <c r="L402" s="815"/>
    </row>
    <row r="403" spans="1:12" ht="14.25" customHeight="1">
      <c r="A403" s="580" t="s">
        <v>1386</v>
      </c>
      <c r="B403" s="1728"/>
      <c r="C403" s="1736" t="s">
        <v>1393</v>
      </c>
      <c r="D403" s="1730"/>
      <c r="E403" s="1731"/>
      <c r="F403" s="1732" t="str">
        <f t="shared" si="52"/>
        <v xml:space="preserve"> </v>
      </c>
      <c r="G403" s="1733"/>
      <c r="H403" s="1734" t="str">
        <f t="shared" si="49"/>
        <v xml:space="preserve"> </v>
      </c>
      <c r="I403" s="1735" t="str">
        <f t="shared" si="53"/>
        <v xml:space="preserve"> </v>
      </c>
      <c r="J403" s="708"/>
      <c r="K403" s="125"/>
    </row>
    <row r="404" spans="1:12" ht="33.75" customHeight="1">
      <c r="A404" s="211" t="s">
        <v>1478</v>
      </c>
      <c r="B404" s="1279">
        <v>88415</v>
      </c>
      <c r="C404" s="1613" t="s">
        <v>624</v>
      </c>
      <c r="D404" s="1698" t="s">
        <v>48</v>
      </c>
      <c r="E404" s="1578">
        <v>2.2599999999999998</v>
      </c>
      <c r="F404" s="1727">
        <f t="shared" si="52"/>
        <v>576.85</v>
      </c>
      <c r="G404" s="1589">
        <v>576.85</v>
      </c>
      <c r="H404" s="1510">
        <f t="shared" si="49"/>
        <v>2.76</v>
      </c>
      <c r="I404" s="1511">
        <f t="shared" si="53"/>
        <v>1592.1</v>
      </c>
      <c r="J404" s="582"/>
      <c r="K404" s="582"/>
    </row>
    <row r="405" spans="1:12" ht="33" customHeight="1">
      <c r="A405" s="1496" t="s">
        <v>1479</v>
      </c>
      <c r="B405" s="1597">
        <v>88489</v>
      </c>
      <c r="C405" s="1613" t="s">
        <v>121</v>
      </c>
      <c r="D405" s="1698" t="s">
        <v>48</v>
      </c>
      <c r="E405" s="1578">
        <v>13.72</v>
      </c>
      <c r="F405" s="1737">
        <f t="shared" si="52"/>
        <v>576.85</v>
      </c>
      <c r="G405" s="1589">
        <v>576.85</v>
      </c>
      <c r="H405" s="1510">
        <f t="shared" si="49"/>
        <v>16.760000000000002</v>
      </c>
      <c r="I405" s="1511">
        <f t="shared" si="53"/>
        <v>9668</v>
      </c>
      <c r="J405" s="582"/>
      <c r="K405" s="582"/>
    </row>
    <row r="406" spans="1:12" ht="15.75" thickBot="1">
      <c r="A406" s="385"/>
      <c r="B406" s="173"/>
      <c r="C406" s="173"/>
      <c r="D406" s="173"/>
      <c r="E406" s="1573"/>
      <c r="F406" s="978"/>
      <c r="G406" s="1003"/>
      <c r="H406" s="980" t="s">
        <v>16</v>
      </c>
      <c r="I406" s="176">
        <f>SUM(I372:I405)</f>
        <v>265362.34999999998</v>
      </c>
      <c r="J406" s="541"/>
      <c r="K406" s="125"/>
    </row>
    <row r="407" spans="1:12" ht="13.5" customHeight="1">
      <c r="A407" s="212">
        <v>18</v>
      </c>
      <c r="B407" s="578"/>
      <c r="C407" s="235" t="s">
        <v>1011</v>
      </c>
      <c r="D407" s="236"/>
      <c r="E407" s="1585"/>
      <c r="F407" s="1002"/>
      <c r="G407" s="1002"/>
      <c r="H407" s="1002"/>
      <c r="I407" s="148"/>
      <c r="J407" s="697"/>
      <c r="K407" s="125"/>
    </row>
    <row r="408" spans="1:12" ht="19.5" customHeight="1">
      <c r="A408" s="213" t="s">
        <v>418</v>
      </c>
      <c r="B408" s="254" t="s">
        <v>1583</v>
      </c>
      <c r="C408" s="1778" t="s">
        <v>1729</v>
      </c>
      <c r="D408" s="1738" t="s">
        <v>57</v>
      </c>
      <c r="E408" s="1583">
        <v>8500</v>
      </c>
      <c r="F408" s="1777">
        <f t="shared" ref="F408:F415" si="54">IF(OR(E408&lt;=0)," ",TRUNC(G408,2))</f>
        <v>1</v>
      </c>
      <c r="G408" s="350">
        <v>1</v>
      </c>
      <c r="H408" s="1779">
        <f t="shared" ref="H408:H415" si="55">IF(OR(E408&lt;=0)," ",TRUNC((E408*(1+$I$10)),2))</f>
        <v>10389.549999999999</v>
      </c>
      <c r="I408" s="1780">
        <f t="shared" ref="I408:I415" si="56">IF(OR(E408&lt;=0)," ",TRUNC((H408*F408),2))</f>
        <v>10389.549999999999</v>
      </c>
      <c r="J408" s="207">
        <f>'COMP CIVIL'!F372</f>
        <v>8500</v>
      </c>
      <c r="K408" s="125"/>
    </row>
    <row r="409" spans="1:12" ht="19.5" customHeight="1">
      <c r="A409" s="213" t="s">
        <v>1387</v>
      </c>
      <c r="B409" s="254" t="s">
        <v>1584</v>
      </c>
      <c r="C409" s="1778" t="s">
        <v>2205</v>
      </c>
      <c r="D409" s="1738" t="s">
        <v>57</v>
      </c>
      <c r="E409" s="1583">
        <v>6500</v>
      </c>
      <c r="F409" s="1777">
        <f t="shared" si="54"/>
        <v>1</v>
      </c>
      <c r="G409" s="350">
        <v>1</v>
      </c>
      <c r="H409" s="1779">
        <f t="shared" si="55"/>
        <v>7944.95</v>
      </c>
      <c r="I409" s="1780">
        <f t="shared" si="56"/>
        <v>7944.95</v>
      </c>
      <c r="J409" s="207">
        <f>'COMP CIVIL'!F388</f>
        <v>6500</v>
      </c>
      <c r="K409" s="125"/>
    </row>
    <row r="410" spans="1:12" ht="19.5" customHeight="1">
      <c r="A410" s="213" t="s">
        <v>1388</v>
      </c>
      <c r="B410" s="254" t="s">
        <v>1736</v>
      </c>
      <c r="C410" s="1778" t="s">
        <v>2252</v>
      </c>
      <c r="D410" s="1738" t="s">
        <v>57</v>
      </c>
      <c r="E410" s="1583">
        <v>9154</v>
      </c>
      <c r="F410" s="1777">
        <f t="shared" si="54"/>
        <v>1</v>
      </c>
      <c r="G410" s="350">
        <v>1</v>
      </c>
      <c r="H410" s="1779">
        <f t="shared" si="55"/>
        <v>11188.93</v>
      </c>
      <c r="I410" s="1780">
        <f t="shared" si="56"/>
        <v>11188.93</v>
      </c>
      <c r="J410" s="207">
        <f>'COMP CIVIL'!F404</f>
        <v>7680</v>
      </c>
      <c r="K410" s="125"/>
    </row>
    <row r="411" spans="1:12" ht="47.25" customHeight="1">
      <c r="A411" s="213" t="s">
        <v>1389</v>
      </c>
      <c r="B411" s="1498">
        <v>92398</v>
      </c>
      <c r="C411" s="147" t="s">
        <v>1745</v>
      </c>
      <c r="D411" s="701" t="s">
        <v>48</v>
      </c>
      <c r="E411" s="1583">
        <v>91.47</v>
      </c>
      <c r="F411" s="1727">
        <f t="shared" si="54"/>
        <v>334.18</v>
      </c>
      <c r="G411" s="816">
        <v>334.18</v>
      </c>
      <c r="H411" s="1510">
        <f t="shared" si="55"/>
        <v>111.8</v>
      </c>
      <c r="I411" s="1511">
        <f t="shared" si="56"/>
        <v>37361.32</v>
      </c>
      <c r="J411" s="811"/>
      <c r="K411" s="125"/>
    </row>
    <row r="412" spans="1:12" ht="48" customHeight="1">
      <c r="A412" s="213" t="s">
        <v>1390</v>
      </c>
      <c r="B412" s="254">
        <v>94994</v>
      </c>
      <c r="C412" s="147" t="s">
        <v>1744</v>
      </c>
      <c r="D412" s="1776" t="s">
        <v>48</v>
      </c>
      <c r="E412" s="1576">
        <v>114.9</v>
      </c>
      <c r="F412" s="1777">
        <f t="shared" si="54"/>
        <v>156.76</v>
      </c>
      <c r="G412" s="350">
        <v>156.76</v>
      </c>
      <c r="H412" s="352">
        <f t="shared" si="55"/>
        <v>140.44</v>
      </c>
      <c r="I412" s="169">
        <f t="shared" si="56"/>
        <v>22015.37</v>
      </c>
      <c r="J412" s="811"/>
      <c r="K412" s="387" t="s">
        <v>2134</v>
      </c>
    </row>
    <row r="413" spans="1:12" ht="30.75" customHeight="1">
      <c r="A413" s="1770" t="s">
        <v>1391</v>
      </c>
      <c r="B413" s="1771">
        <v>94266</v>
      </c>
      <c r="C413" s="1772" t="s">
        <v>1548</v>
      </c>
      <c r="D413" s="737" t="s">
        <v>56</v>
      </c>
      <c r="E413" s="1583">
        <v>50.27</v>
      </c>
      <c r="F413" s="1773">
        <f t="shared" si="54"/>
        <v>4.17</v>
      </c>
      <c r="G413" s="816">
        <v>4.17</v>
      </c>
      <c r="H413" s="1774">
        <f t="shared" si="55"/>
        <v>61.44</v>
      </c>
      <c r="I413" s="1775">
        <f t="shared" si="56"/>
        <v>256.2</v>
      </c>
      <c r="J413" s="811"/>
      <c r="K413" s="125">
        <f>209.24*0.05</f>
        <v>10.462000000000002</v>
      </c>
    </row>
    <row r="414" spans="1:12" ht="31.5" customHeight="1">
      <c r="A414" s="213" t="s">
        <v>1506</v>
      </c>
      <c r="B414" s="254">
        <v>94265</v>
      </c>
      <c r="C414" s="147" t="s">
        <v>1549</v>
      </c>
      <c r="D414" s="1776" t="s">
        <v>56</v>
      </c>
      <c r="E414" s="1583">
        <v>46.69</v>
      </c>
      <c r="F414" s="1727">
        <f t="shared" si="54"/>
        <v>69.260000000000005</v>
      </c>
      <c r="G414" s="816">
        <v>69.260000000000005</v>
      </c>
      <c r="H414" s="1510">
        <f t="shared" si="55"/>
        <v>57.06</v>
      </c>
      <c r="I414" s="1511">
        <f t="shared" si="56"/>
        <v>3951.97</v>
      </c>
      <c r="J414" s="811"/>
      <c r="K414" s="125"/>
    </row>
    <row r="415" spans="1:12" ht="19.5" customHeight="1">
      <c r="A415" s="213" t="s">
        <v>1507</v>
      </c>
      <c r="B415" s="254" t="s">
        <v>1739</v>
      </c>
      <c r="C415" s="1778" t="s">
        <v>1740</v>
      </c>
      <c r="D415" s="1738" t="s">
        <v>49</v>
      </c>
      <c r="E415" s="1583">
        <v>146.26</v>
      </c>
      <c r="F415" s="1777">
        <f t="shared" si="54"/>
        <v>10.46</v>
      </c>
      <c r="G415" s="350">
        <v>10.46</v>
      </c>
      <c r="H415" s="1779">
        <f t="shared" si="55"/>
        <v>178.77</v>
      </c>
      <c r="I415" s="1780">
        <f t="shared" si="56"/>
        <v>1869.93</v>
      </c>
      <c r="J415" s="207">
        <f>'COMP CIVIL'!F421</f>
        <v>196.69</v>
      </c>
      <c r="K415" s="125" t="s">
        <v>1741</v>
      </c>
    </row>
    <row r="416" spans="1:12" ht="19.5" customHeight="1">
      <c r="A416" s="213" t="s">
        <v>1508</v>
      </c>
      <c r="B416" s="254">
        <v>98504</v>
      </c>
      <c r="C416" s="1778" t="s">
        <v>650</v>
      </c>
      <c r="D416" s="1738" t="s">
        <v>48</v>
      </c>
      <c r="E416" s="1583">
        <v>13.67</v>
      </c>
      <c r="F416" s="1777">
        <f t="shared" ref="F416:F421" si="57">IF(OR(E416&lt;=0)," ",TRUNC(G416,2))</f>
        <v>202.75</v>
      </c>
      <c r="G416" s="350">
        <v>202.75</v>
      </c>
      <c r="H416" s="1779">
        <f t="shared" ref="H416:H421" si="58">IF(OR(E416&lt;=0)," ",TRUNC((E416*(1+$I$9)),2))</f>
        <v>13.67</v>
      </c>
      <c r="I416" s="1780">
        <f t="shared" ref="I416:I421" si="59">IF(OR(E416&lt;=0)," ",TRUNC((H416*F416),2))</f>
        <v>2771.59</v>
      </c>
      <c r="J416" s="811"/>
      <c r="K416" s="125" t="s">
        <v>1999</v>
      </c>
    </row>
    <row r="417" spans="1:11" ht="30" customHeight="1">
      <c r="A417" s="213" t="s">
        <v>1509</v>
      </c>
      <c r="B417" s="254">
        <v>98510</v>
      </c>
      <c r="C417" s="147" t="s">
        <v>1732</v>
      </c>
      <c r="D417" s="1738" t="s">
        <v>57</v>
      </c>
      <c r="E417" s="1583">
        <v>86.2</v>
      </c>
      <c r="F417" s="1777">
        <f t="shared" si="57"/>
        <v>19</v>
      </c>
      <c r="G417" s="816">
        <v>19</v>
      </c>
      <c r="H417" s="1779">
        <f t="shared" si="58"/>
        <v>86.2</v>
      </c>
      <c r="I417" s="1780">
        <f t="shared" si="59"/>
        <v>1637.8</v>
      </c>
      <c r="J417" s="811"/>
      <c r="K417" s="648" t="s">
        <v>1733</v>
      </c>
    </row>
    <row r="418" spans="1:11" ht="19.5" customHeight="1">
      <c r="A418" s="213" t="s">
        <v>2273</v>
      </c>
      <c r="B418" s="254">
        <v>98505</v>
      </c>
      <c r="C418" s="1778" t="s">
        <v>1735</v>
      </c>
      <c r="D418" s="1738" t="s">
        <v>48</v>
      </c>
      <c r="E418" s="1583">
        <v>86.78</v>
      </c>
      <c r="F418" s="1777">
        <f t="shared" si="57"/>
        <v>15.52</v>
      </c>
      <c r="G418" s="350">
        <v>15.52</v>
      </c>
      <c r="H418" s="1779">
        <f t="shared" si="58"/>
        <v>86.78</v>
      </c>
      <c r="I418" s="1780">
        <f t="shared" si="59"/>
        <v>1346.82</v>
      </c>
      <c r="J418" s="811"/>
      <c r="K418" s="125" t="s">
        <v>1734</v>
      </c>
    </row>
    <row r="419" spans="1:11" ht="30.75" customHeight="1">
      <c r="A419" s="213" t="s">
        <v>1510</v>
      </c>
      <c r="B419" s="254">
        <v>101094</v>
      </c>
      <c r="C419" s="1781" t="s">
        <v>1554</v>
      </c>
      <c r="D419" s="1782" t="s">
        <v>56</v>
      </c>
      <c r="E419" s="1583">
        <v>207.9</v>
      </c>
      <c r="F419" s="1777">
        <f t="shared" si="57"/>
        <v>77.75</v>
      </c>
      <c r="G419" s="816">
        <v>77.75</v>
      </c>
      <c r="H419" s="1779">
        <f t="shared" si="58"/>
        <v>207.9</v>
      </c>
      <c r="I419" s="1780">
        <f t="shared" si="59"/>
        <v>16164.22</v>
      </c>
      <c r="J419" s="811"/>
      <c r="K419" s="469" t="s">
        <v>1555</v>
      </c>
    </row>
    <row r="420" spans="1:11" ht="32.25" customHeight="1">
      <c r="A420" s="213" t="s">
        <v>1511</v>
      </c>
      <c r="B420" s="254">
        <v>102513</v>
      </c>
      <c r="C420" s="147" t="s">
        <v>1747</v>
      </c>
      <c r="D420" s="737" t="s">
        <v>48</v>
      </c>
      <c r="E420" s="1576">
        <v>38.880000000000003</v>
      </c>
      <c r="F420" s="1777">
        <f t="shared" si="57"/>
        <v>5.78</v>
      </c>
      <c r="G420" s="350">
        <v>5.78</v>
      </c>
      <c r="H420" s="1779">
        <f t="shared" si="58"/>
        <v>38.880000000000003</v>
      </c>
      <c r="I420" s="1780">
        <f t="shared" si="59"/>
        <v>224.72</v>
      </c>
      <c r="J420" s="811"/>
      <c r="K420" s="125"/>
    </row>
    <row r="421" spans="1:11" ht="31.5" customHeight="1">
      <c r="A421" s="213" t="s">
        <v>1512</v>
      </c>
      <c r="B421" s="146">
        <v>102500</v>
      </c>
      <c r="C421" s="147" t="s">
        <v>1746</v>
      </c>
      <c r="D421" s="1782" t="s">
        <v>56</v>
      </c>
      <c r="E421" s="1576">
        <v>3.65</v>
      </c>
      <c r="F421" s="1777">
        <f t="shared" si="57"/>
        <v>117.04</v>
      </c>
      <c r="G421" s="350">
        <v>117.04</v>
      </c>
      <c r="H421" s="1779">
        <f t="shared" si="58"/>
        <v>3.65</v>
      </c>
      <c r="I421" s="1780">
        <f t="shared" si="59"/>
        <v>427.19</v>
      </c>
      <c r="J421" s="811"/>
      <c r="K421" s="125"/>
    </row>
    <row r="422" spans="1:11" ht="15.75" thickBot="1">
      <c r="A422" s="1653"/>
      <c r="B422" s="1740"/>
      <c r="C422" s="1741"/>
      <c r="D422" s="1655"/>
      <c r="E422" s="1641"/>
      <c r="F422" s="1642"/>
      <c r="G422" s="1742"/>
      <c r="H422" s="980" t="s">
        <v>16</v>
      </c>
      <c r="I422" s="176">
        <f>TRUNC(SUM(I408:I421),2)</f>
        <v>117550.56</v>
      </c>
      <c r="J422" s="764"/>
      <c r="K422" s="125"/>
    </row>
    <row r="423" spans="1:11" ht="12.75" customHeight="1">
      <c r="A423" s="702">
        <v>19</v>
      </c>
      <c r="B423" s="390"/>
      <c r="C423" s="703" t="s">
        <v>25</v>
      </c>
      <c r="D423" s="704"/>
      <c r="E423" s="1584"/>
      <c r="F423" s="1004" t="str">
        <f>IF(OR(E423&lt;=0)," ",TRUNC(G423,2))</f>
        <v xml:space="preserve"> </v>
      </c>
      <c r="G423" s="1004"/>
      <c r="H423" s="1004" t="str">
        <f>IF(OR(E423&lt;=0)," ",TRUNC((E423*(1+$I$10)),2))</f>
        <v xml:space="preserve"> </v>
      </c>
      <c r="I423" s="705" t="str">
        <f>IF(OR(E423&lt;=0)," ",TRUNC((H423*F423),2))</f>
        <v xml:space="preserve"> </v>
      </c>
      <c r="J423" s="537"/>
      <c r="K423" s="125"/>
    </row>
    <row r="424" spans="1:11" ht="33" customHeight="1">
      <c r="A424" s="213" t="s">
        <v>653</v>
      </c>
      <c r="B424" s="1743">
        <v>99803</v>
      </c>
      <c r="C424" s="1620" t="s">
        <v>2132</v>
      </c>
      <c r="D424" s="1738" t="s">
        <v>48</v>
      </c>
      <c r="E424" s="1578">
        <v>1.72</v>
      </c>
      <c r="F424" s="1588">
        <f>IF(OR(E424&lt;=0)," ",TRUNC(G424,2))</f>
        <v>246.05</v>
      </c>
      <c r="G424" s="1589">
        <v>246.05</v>
      </c>
      <c r="H424" s="1500">
        <f>IF(OR(E424&lt;=0)," ",TRUNC((E424*(1+$I$10)),2))</f>
        <v>2.1</v>
      </c>
      <c r="I424" s="1511">
        <f>IF(OR(E424&lt;=0)," ",TRUNC((H424*F424),2))</f>
        <v>516.70000000000005</v>
      </c>
      <c r="J424" s="537"/>
      <c r="K424" s="584"/>
    </row>
    <row r="425" spans="1:11" ht="31.5" customHeight="1">
      <c r="A425" s="213" t="s">
        <v>656</v>
      </c>
      <c r="B425" s="1743">
        <v>99806</v>
      </c>
      <c r="C425" s="1613" t="s">
        <v>2133</v>
      </c>
      <c r="D425" s="1738" t="s">
        <v>48</v>
      </c>
      <c r="E425" s="1578">
        <v>0.71</v>
      </c>
      <c r="F425" s="1588">
        <f>IF(OR(E425&lt;=0)," ",TRUNC(G425,2))</f>
        <v>98.67</v>
      </c>
      <c r="G425" s="1589">
        <v>98.67</v>
      </c>
      <c r="H425" s="1500">
        <f>IF(OR(E425&lt;=0)," ",TRUNC((E425*(1+$I$10)),2))</f>
        <v>0.86</v>
      </c>
      <c r="I425" s="1511">
        <f>IF(OR(E425&lt;=0)," ",TRUNC((H425*F425),2))</f>
        <v>84.85</v>
      </c>
      <c r="J425" s="419"/>
      <c r="K425" s="584"/>
    </row>
    <row r="426" spans="1:11" ht="20.25" customHeight="1">
      <c r="A426" s="213" t="s">
        <v>1808</v>
      </c>
      <c r="B426" s="1743">
        <v>99814</v>
      </c>
      <c r="C426" s="1613" t="s">
        <v>666</v>
      </c>
      <c r="D426" s="1738" t="s">
        <v>48</v>
      </c>
      <c r="E426" s="1578">
        <v>1.64</v>
      </c>
      <c r="F426" s="1588">
        <f>IF(OR(E426&lt;=0)," ",TRUNC(G426,2))</f>
        <v>288.94</v>
      </c>
      <c r="G426" s="1589">
        <v>288.94</v>
      </c>
      <c r="H426" s="1500">
        <f>IF(OR(E426&lt;=0)," ",TRUNC((E426*(1+$I$10)),2))</f>
        <v>2</v>
      </c>
      <c r="I426" s="1511">
        <f>IF(OR(E426&lt;=0)," ",TRUNC((H426*F426),2))</f>
        <v>577.88</v>
      </c>
      <c r="J426" s="965"/>
      <c r="K426" s="966" t="s">
        <v>2134</v>
      </c>
    </row>
    <row r="427" spans="1:11" ht="15.75" thickBot="1">
      <c r="A427" s="385"/>
      <c r="B427" s="173"/>
      <c r="C427" s="173"/>
      <c r="D427" s="173"/>
      <c r="E427" s="977"/>
      <c r="F427" s="978"/>
      <c r="G427" s="1003"/>
      <c r="H427" s="980" t="s">
        <v>16</v>
      </c>
      <c r="I427" s="176">
        <f>TRUNC(SUM(I424:I426),2)</f>
        <v>1179.43</v>
      </c>
      <c r="J427" s="537"/>
      <c r="K427" t="s">
        <v>43</v>
      </c>
    </row>
    <row r="428" spans="1:11" ht="15.75">
      <c r="A428" s="255"/>
      <c r="B428" s="2083" t="s">
        <v>26</v>
      </c>
      <c r="C428" s="2084"/>
      <c r="D428" s="2084"/>
      <c r="E428" s="2084"/>
      <c r="F428" s="2084"/>
      <c r="G428" s="2084"/>
      <c r="H428" s="2084"/>
      <c r="I428" s="600">
        <f>TRUNC((I17+I34+I39+I94+I104+I113+I125+I142+I156+I163+I166+I219+I247+I257+I288+I305+I334+I347+I361+I369+I406+I422+I427),2)</f>
        <v>1490766.08</v>
      </c>
      <c r="J428" s="585"/>
      <c r="K428" s="553">
        <f>SUM(I16:I427)/2</f>
        <v>1490766.0800000017</v>
      </c>
    </row>
    <row r="429" spans="1:11" ht="15.75">
      <c r="A429" s="238"/>
      <c r="B429" s="2085" t="s">
        <v>27</v>
      </c>
      <c r="C429" s="2086"/>
      <c r="D429" s="2086"/>
      <c r="E429" s="2087">
        <f>I428</f>
        <v>1490766.08</v>
      </c>
      <c r="F429" s="2088"/>
      <c r="G429" s="2088"/>
      <c r="H429" s="2088"/>
      <c r="I429" s="256"/>
      <c r="J429" s="537"/>
      <c r="K429" s="209"/>
    </row>
    <row r="430" spans="1:11" ht="18.75" thickBot="1">
      <c r="A430" s="239"/>
      <c r="B430" s="2078" t="s">
        <v>2420</v>
      </c>
      <c r="C430" s="2079"/>
      <c r="D430" s="2079"/>
      <c r="E430" s="2079"/>
      <c r="F430" s="2079"/>
      <c r="G430" s="2079"/>
      <c r="H430" s="2079"/>
      <c r="I430" s="2080"/>
      <c r="J430" s="586"/>
    </row>
    <row r="431" spans="1:11" ht="15.75" thickBot="1">
      <c r="A431" s="129"/>
      <c r="B431" s="45"/>
      <c r="C431" s="45"/>
      <c r="D431" s="45"/>
      <c r="E431" s="45"/>
      <c r="F431" s="45"/>
      <c r="G431" s="45"/>
      <c r="H431" s="45"/>
      <c r="I431" s="130"/>
      <c r="J431" s="537"/>
    </row>
    <row r="432" spans="1:11" ht="46.5" customHeight="1" thickBot="1">
      <c r="A432" s="2074" t="s">
        <v>145</v>
      </c>
      <c r="B432" s="2075"/>
      <c r="C432" s="217"/>
      <c r="D432" s="2036" t="s">
        <v>2424</v>
      </c>
      <c r="E432" s="2036"/>
      <c r="F432" s="2036"/>
      <c r="G432" s="2036"/>
      <c r="H432" s="2076"/>
      <c r="I432" s="2077"/>
    </row>
    <row r="436" spans="3:3">
      <c r="C436" s="425"/>
    </row>
  </sheetData>
  <mergeCells count="19">
    <mergeCell ref="A2:B5"/>
    <mergeCell ref="C3:H3"/>
    <mergeCell ref="C4:H4"/>
    <mergeCell ref="C5:H5"/>
    <mergeCell ref="B8:C8"/>
    <mergeCell ref="H8:H9"/>
    <mergeCell ref="B9:C9"/>
    <mergeCell ref="B10:C10"/>
    <mergeCell ref="B11:C11"/>
    <mergeCell ref="B428:H428"/>
    <mergeCell ref="B429:D429"/>
    <mergeCell ref="E429:H429"/>
    <mergeCell ref="M22:O22"/>
    <mergeCell ref="A432:B432"/>
    <mergeCell ref="D432:G432"/>
    <mergeCell ref="H432:I432"/>
    <mergeCell ref="B430:I430"/>
    <mergeCell ref="K226:L226"/>
    <mergeCell ref="K22:L22"/>
  </mergeCells>
  <printOptions horizontalCentered="1"/>
  <pageMargins left="0.51181102362204722" right="0.51181102362204722" top="0.78740157480314965" bottom="0.78740157480314965" header="0.31496062992125984" footer="0.31496062992125984"/>
  <pageSetup paperSize="9" scale="70" orientation="landscape" r:id="rId1"/>
  <ignoredErrors>
    <ignoredError sqref="I113 I288 I125 I422 I247 I257 I219 I369 I163 I166" formula="1"/>
    <ignoredError sqref="J309 J316:J317 J330 J332 J328"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2"/>
  <sheetViews>
    <sheetView topLeftCell="A493" zoomScale="90" zoomScaleNormal="90" workbookViewId="0">
      <selection activeCell="E504" sqref="E504"/>
    </sheetView>
  </sheetViews>
  <sheetFormatPr defaultRowHeight="15"/>
  <cols>
    <col min="1" max="1" width="14.85546875" customWidth="1"/>
    <col min="2" max="2" width="53" customWidth="1"/>
    <col min="3" max="3" width="10" customWidth="1"/>
    <col min="4" max="4" width="9.28515625" customWidth="1"/>
    <col min="5" max="5" width="11.140625" customWidth="1"/>
    <col min="6" max="6" width="24" customWidth="1"/>
    <col min="7" max="7" width="14.140625" customWidth="1"/>
    <col min="8" max="8" width="20.42578125" customWidth="1"/>
    <col min="9" max="9" width="17.85546875" customWidth="1"/>
  </cols>
  <sheetData>
    <row r="1" spans="1:8">
      <c r="A1" s="134"/>
      <c r="B1" s="135"/>
      <c r="C1" s="135"/>
      <c r="D1" s="135"/>
      <c r="E1" s="135"/>
      <c r="F1" s="136"/>
    </row>
    <row r="2" spans="1:8">
      <c r="A2" s="129"/>
      <c r="B2" s="45"/>
      <c r="C2" s="45"/>
      <c r="D2" s="45"/>
      <c r="E2" s="45"/>
      <c r="F2" s="130"/>
    </row>
    <row r="3" spans="1:8">
      <c r="A3" s="129"/>
      <c r="B3" s="2136" t="s">
        <v>135</v>
      </c>
      <c r="C3" s="2136"/>
      <c r="D3" s="2136"/>
      <c r="E3" s="2136"/>
      <c r="F3" s="2137"/>
    </row>
    <row r="4" spans="1:8">
      <c r="A4" s="129"/>
      <c r="B4" s="2136" t="s">
        <v>136</v>
      </c>
      <c r="C4" s="2136"/>
      <c r="D4" s="2136"/>
      <c r="E4" s="2136"/>
      <c r="F4" s="2137"/>
    </row>
    <row r="5" spans="1:8">
      <c r="A5" s="129"/>
      <c r="B5" s="2145" t="s">
        <v>296</v>
      </c>
      <c r="C5" s="2145"/>
      <c r="D5" s="2145"/>
      <c r="E5" s="2145"/>
      <c r="F5" s="2146"/>
    </row>
    <row r="6" spans="1:8" ht="15.75" thickBot="1">
      <c r="A6" s="251"/>
      <c r="B6" s="132"/>
      <c r="C6" s="132"/>
      <c r="D6" s="132"/>
      <c r="E6" s="132"/>
      <c r="F6" s="133"/>
    </row>
    <row r="7" spans="1:8" ht="5.25" customHeight="1" thickBot="1"/>
    <row r="8" spans="1:8">
      <c r="A8" s="248" t="s">
        <v>0</v>
      </c>
      <c r="B8" s="402" t="str">
        <f>'PLANILHA SEM DESON'!B8:C8</f>
        <v>364778/2019</v>
      </c>
      <c r="C8" s="403"/>
      <c r="D8" s="135"/>
      <c r="E8" s="249" t="s">
        <v>139</v>
      </c>
      <c r="F8" s="606">
        <f>'PLANILHA SEM DESON'!I11</f>
        <v>44412</v>
      </c>
    </row>
    <row r="9" spans="1:8">
      <c r="A9" s="250" t="s">
        <v>1</v>
      </c>
      <c r="B9" s="303" t="str">
        <f>'PLANILHA SEM DESON'!B9:C9</f>
        <v>CONSTRUÇÃO DE DIRETORIA DE UNIDADE DESCONCENTRADA DA SEMA - DUDS</v>
      </c>
      <c r="C9" s="404"/>
      <c r="D9" s="45"/>
      <c r="E9" s="45"/>
      <c r="F9" s="130"/>
    </row>
    <row r="10" spans="1:8">
      <c r="A10" s="218" t="s">
        <v>2</v>
      </c>
      <c r="B10" s="303" t="str">
        <f>'PLANILHA SEM DESON'!B10:B10</f>
        <v>RUA 24 A - JARDIM TANGARA II</v>
      </c>
      <c r="C10" s="404"/>
      <c r="D10" s="45"/>
      <c r="E10" s="45"/>
      <c r="F10" s="130"/>
    </row>
    <row r="11" spans="1:8">
      <c r="A11" s="218" t="s">
        <v>4</v>
      </c>
      <c r="B11" s="303" t="str">
        <f>'PLANILHA SEM DESON'!B11:C11</f>
        <v>TANGARÁ DA SERRA - MT</v>
      </c>
      <c r="C11" s="404"/>
      <c r="D11" s="45"/>
      <c r="E11" s="45"/>
      <c r="F11" s="130"/>
    </row>
    <row r="12" spans="1:8" ht="15.75" thickBot="1">
      <c r="A12" s="219" t="s">
        <v>6</v>
      </c>
      <c r="B12" s="405" t="str">
        <f>'PLANILHA SEM DESON'!B12</f>
        <v xml:space="preserve">CONSTRUÇÃO </v>
      </c>
      <c r="C12" s="406"/>
      <c r="D12" s="132"/>
      <c r="E12" s="132"/>
      <c r="F12" s="133"/>
    </row>
    <row r="13" spans="1:8" ht="3.75" customHeight="1" thickBot="1">
      <c r="A13" s="45"/>
    </row>
    <row r="14" spans="1:8" ht="15.75" thickBot="1">
      <c r="A14" s="2147" t="s">
        <v>578</v>
      </c>
      <c r="B14" s="2148"/>
      <c r="C14" s="2148"/>
      <c r="D14" s="2148"/>
      <c r="E14" s="2148"/>
      <c r="F14" s="2149"/>
    </row>
    <row r="15" spans="1:8" ht="15.75">
      <c r="A15" s="151" t="s">
        <v>133</v>
      </c>
      <c r="B15" s="247" t="s">
        <v>125</v>
      </c>
      <c r="C15" s="152" t="s">
        <v>57</v>
      </c>
      <c r="D15" s="153"/>
      <c r="E15" s="154"/>
      <c r="F15" s="155"/>
      <c r="H15" s="1358" t="s">
        <v>489</v>
      </c>
    </row>
    <row r="16" spans="1:8" ht="30">
      <c r="A16" s="90"/>
      <c r="B16" s="91" t="s">
        <v>58</v>
      </c>
      <c r="C16" s="92" t="s">
        <v>51</v>
      </c>
      <c r="D16" s="93" t="s">
        <v>52</v>
      </c>
      <c r="E16" s="105" t="s">
        <v>64</v>
      </c>
      <c r="F16" s="94" t="s">
        <v>54</v>
      </c>
    </row>
    <row r="17" spans="1:8" ht="29.25" customHeight="1">
      <c r="A17" s="138">
        <v>90776</v>
      </c>
      <c r="B17" s="101" t="s">
        <v>123</v>
      </c>
      <c r="C17" s="97" t="s">
        <v>59</v>
      </c>
      <c r="D17" s="85">
        <v>640</v>
      </c>
      <c r="E17" s="336">
        <v>25.47</v>
      </c>
      <c r="F17" s="229">
        <f>TRUNC((D17*E17),2)</f>
        <v>16300.8</v>
      </c>
      <c r="G17" s="324"/>
    </row>
    <row r="18" spans="1:8" ht="25.5">
      <c r="A18" s="138">
        <v>90777</v>
      </c>
      <c r="B18" s="101" t="s">
        <v>137</v>
      </c>
      <c r="C18" s="97" t="s">
        <v>59</v>
      </c>
      <c r="D18" s="85">
        <v>80</v>
      </c>
      <c r="E18" s="206">
        <v>93.77</v>
      </c>
      <c r="F18" s="229">
        <f>TRUNC((D18*E18),2)</f>
        <v>7501.6</v>
      </c>
    </row>
    <row r="19" spans="1:8">
      <c r="A19" s="95"/>
      <c r="B19" s="96"/>
      <c r="C19" s="32" t="s">
        <v>43</v>
      </c>
      <c r="D19" s="98" t="s">
        <v>43</v>
      </c>
      <c r="E19" s="299" t="s">
        <v>60</v>
      </c>
      <c r="F19" s="408">
        <f>SUM(F17:F18)</f>
        <v>23802.400000000001</v>
      </c>
    </row>
    <row r="20" spans="1:8" ht="15.75" thickBot="1">
      <c r="A20" s="102"/>
      <c r="B20" s="2138" t="s">
        <v>55</v>
      </c>
      <c r="C20" s="2139"/>
      <c r="D20" s="2139"/>
      <c r="E20" s="2140"/>
      <c r="F20" s="409">
        <f>F19</f>
        <v>23802.400000000001</v>
      </c>
    </row>
    <row r="21" spans="1:8" ht="16.5" customHeight="1" thickBot="1">
      <c r="A21" s="192"/>
      <c r="B21" s="2141" t="s">
        <v>140</v>
      </c>
      <c r="C21" s="2142"/>
      <c r="D21" s="2142"/>
      <c r="E21" s="2143"/>
      <c r="F21" s="193"/>
    </row>
    <row r="22" spans="1:8" ht="31.5" customHeight="1" thickBot="1">
      <c r="A22" s="252"/>
      <c r="B22" s="2144" t="s">
        <v>2235</v>
      </c>
      <c r="C22" s="2144"/>
      <c r="D22" s="2144"/>
      <c r="E22" s="2144"/>
      <c r="F22" s="253"/>
    </row>
    <row r="23" spans="1:8" ht="16.5" customHeight="1" thickBot="1">
      <c r="A23" s="205"/>
      <c r="B23" s="205"/>
      <c r="C23" s="205"/>
      <c r="D23" s="205"/>
      <c r="E23" s="205"/>
      <c r="F23" s="205"/>
    </row>
    <row r="24" spans="1:8" ht="16.5" customHeight="1">
      <c r="A24" s="151" t="s">
        <v>138</v>
      </c>
      <c r="B24" s="347" t="s">
        <v>669</v>
      </c>
      <c r="C24" s="152" t="s">
        <v>48</v>
      </c>
      <c r="D24" s="153"/>
      <c r="E24" s="154"/>
      <c r="F24" s="246"/>
    </row>
    <row r="25" spans="1:8" ht="16.5" customHeight="1">
      <c r="A25" s="2105" t="s">
        <v>420</v>
      </c>
      <c r="B25" s="2106"/>
      <c r="C25" s="2106"/>
      <c r="D25" s="2106"/>
      <c r="E25" s="2106"/>
      <c r="F25" s="2107"/>
      <c r="H25" s="1358" t="s">
        <v>489</v>
      </c>
    </row>
    <row r="26" spans="1:8" ht="28.5" customHeight="1">
      <c r="A26" s="260"/>
      <c r="B26" s="261" t="s">
        <v>58</v>
      </c>
      <c r="C26" s="262" t="s">
        <v>51</v>
      </c>
      <c r="D26" s="263" t="s">
        <v>52</v>
      </c>
      <c r="E26" s="264" t="s">
        <v>64</v>
      </c>
      <c r="F26" s="265" t="s">
        <v>54</v>
      </c>
    </row>
    <row r="27" spans="1:8" ht="26.25" customHeight="1">
      <c r="A27" s="139">
        <v>88262</v>
      </c>
      <c r="B27" s="401" t="s">
        <v>468</v>
      </c>
      <c r="C27" s="348" t="s">
        <v>59</v>
      </c>
      <c r="D27" s="228">
        <v>1</v>
      </c>
      <c r="E27" s="206">
        <v>22.16</v>
      </c>
      <c r="F27" s="363">
        <f>TRUNC((D27*E27),2)</f>
        <v>22.16</v>
      </c>
    </row>
    <row r="28" spans="1:8" ht="16.5" customHeight="1">
      <c r="A28" s="139">
        <v>88316</v>
      </c>
      <c r="B28" s="401" t="s">
        <v>68</v>
      </c>
      <c r="C28" s="348" t="s">
        <v>59</v>
      </c>
      <c r="D28" s="228">
        <v>2</v>
      </c>
      <c r="E28" s="206">
        <v>17.82</v>
      </c>
      <c r="F28" s="363">
        <f>TRUNC((D28*E28),2)</f>
        <v>35.64</v>
      </c>
    </row>
    <row r="29" spans="1:8" ht="16.5" customHeight="1">
      <c r="A29" s="189"/>
      <c r="B29" s="364"/>
      <c r="C29" s="365" t="s">
        <v>43</v>
      </c>
      <c r="D29" s="366" t="s">
        <v>43</v>
      </c>
      <c r="E29" s="299" t="s">
        <v>60</v>
      </c>
      <c r="F29" s="367">
        <f>SUM(F27:F28)</f>
        <v>57.8</v>
      </c>
    </row>
    <row r="30" spans="1:8" ht="30.75" customHeight="1">
      <c r="A30" s="189"/>
      <c r="B30" s="368" t="s">
        <v>98</v>
      </c>
      <c r="C30" s="80" t="s">
        <v>51</v>
      </c>
      <c r="D30" s="81" t="s">
        <v>52</v>
      </c>
      <c r="E30" s="105" t="s">
        <v>64</v>
      </c>
      <c r="F30" s="367" t="s">
        <v>54</v>
      </c>
    </row>
    <row r="31" spans="1:8" ht="40.5" customHeight="1">
      <c r="A31" s="203">
        <v>94962</v>
      </c>
      <c r="B31" s="401" t="s">
        <v>469</v>
      </c>
      <c r="C31" s="348" t="s">
        <v>49</v>
      </c>
      <c r="D31" s="228">
        <v>0.01</v>
      </c>
      <c r="E31" s="228">
        <v>368.5</v>
      </c>
      <c r="F31" s="363">
        <f>TRUNC((D31*E31),2)</f>
        <v>3.68</v>
      </c>
    </row>
    <row r="32" spans="1:8" ht="25.5" customHeight="1">
      <c r="A32" s="203">
        <v>4417</v>
      </c>
      <c r="B32" s="401" t="s">
        <v>470</v>
      </c>
      <c r="C32" s="348" t="s">
        <v>56</v>
      </c>
      <c r="D32" s="228">
        <v>1</v>
      </c>
      <c r="E32" s="228">
        <v>6.27</v>
      </c>
      <c r="F32" s="363">
        <f>TRUNC((D32*E32),2)</f>
        <v>6.27</v>
      </c>
    </row>
    <row r="33" spans="1:8" ht="25.5" customHeight="1">
      <c r="A33" s="203">
        <v>4491</v>
      </c>
      <c r="B33" s="401" t="s">
        <v>471</v>
      </c>
      <c r="C33" s="348" t="s">
        <v>56</v>
      </c>
      <c r="D33" s="228">
        <v>4</v>
      </c>
      <c r="E33" s="228">
        <v>9.0399999999999991</v>
      </c>
      <c r="F33" s="363">
        <f>TRUNC((D33*E33),2)</f>
        <v>36.159999999999997</v>
      </c>
    </row>
    <row r="34" spans="1:8" ht="25.5" customHeight="1">
      <c r="A34" s="203">
        <v>4813</v>
      </c>
      <c r="B34" s="401" t="s">
        <v>472</v>
      </c>
      <c r="C34" s="348" t="s">
        <v>48</v>
      </c>
      <c r="D34" s="228">
        <v>1</v>
      </c>
      <c r="E34" s="228">
        <v>225</v>
      </c>
      <c r="F34" s="363">
        <f>TRUNC((D34*E34),2)</f>
        <v>225</v>
      </c>
    </row>
    <row r="35" spans="1:8" ht="18" customHeight="1">
      <c r="A35" s="203">
        <v>5075</v>
      </c>
      <c r="B35" s="401" t="s">
        <v>473</v>
      </c>
      <c r="C35" s="348" t="s">
        <v>104</v>
      </c>
      <c r="D35" s="228">
        <v>0.11</v>
      </c>
      <c r="E35" s="228">
        <v>25.58</v>
      </c>
      <c r="F35" s="363">
        <f>TRUNC((D35*E35),2)</f>
        <v>2.81</v>
      </c>
    </row>
    <row r="36" spans="1:8" ht="16.5" customHeight="1" thickBot="1">
      <c r="A36" s="210"/>
      <c r="B36" s="369"/>
      <c r="C36" s="201"/>
      <c r="D36" s="370"/>
      <c r="E36" s="234" t="s">
        <v>60</v>
      </c>
      <c r="F36" s="410">
        <f>SUM(F31:F35)</f>
        <v>273.92</v>
      </c>
    </row>
    <row r="37" spans="1:8" ht="16.5" customHeight="1" thickBot="1">
      <c r="A37" s="102"/>
      <c r="B37" s="2133" t="s">
        <v>55</v>
      </c>
      <c r="C37" s="2133"/>
      <c r="D37" s="2133"/>
      <c r="E37" s="2133"/>
      <c r="F37" s="409">
        <f>F29+F36</f>
        <v>331.72</v>
      </c>
    </row>
    <row r="38" spans="1:8" ht="16.5" customHeight="1" thickBot="1">
      <c r="A38" s="205"/>
      <c r="B38" s="205"/>
      <c r="C38" s="205"/>
      <c r="D38" s="205"/>
      <c r="E38" s="205"/>
      <c r="F38" s="205"/>
    </row>
    <row r="39" spans="1:8" ht="30.75" customHeight="1">
      <c r="A39" s="424" t="s">
        <v>141</v>
      </c>
      <c r="B39" s="422" t="s">
        <v>214</v>
      </c>
      <c r="C39" s="152" t="s">
        <v>57</v>
      </c>
      <c r="D39" s="153"/>
      <c r="E39" s="153"/>
      <c r="F39" s="399"/>
    </row>
    <row r="40" spans="1:8" ht="16.5" customHeight="1">
      <c r="A40" s="2117" t="s">
        <v>674</v>
      </c>
      <c r="B40" s="2118"/>
      <c r="C40" s="2118"/>
      <c r="D40" s="2118"/>
      <c r="E40" s="2118"/>
      <c r="F40" s="2119"/>
      <c r="H40" s="1358" t="s">
        <v>489</v>
      </c>
    </row>
    <row r="41" spans="1:8" ht="30" customHeight="1">
      <c r="A41" s="1308"/>
      <c r="B41" s="1319" t="s">
        <v>58</v>
      </c>
      <c r="C41" s="92" t="s">
        <v>51</v>
      </c>
      <c r="D41" s="93" t="s">
        <v>52</v>
      </c>
      <c r="E41" s="264" t="s">
        <v>64</v>
      </c>
      <c r="F41" s="1309" t="s">
        <v>54</v>
      </c>
    </row>
    <row r="42" spans="1:8" ht="17.25" customHeight="1">
      <c r="A42" s="391">
        <v>88264</v>
      </c>
      <c r="B42" s="1352" t="s">
        <v>97</v>
      </c>
      <c r="C42" s="97" t="s">
        <v>59</v>
      </c>
      <c r="D42" s="231">
        <v>8</v>
      </c>
      <c r="E42" s="228">
        <v>23.24</v>
      </c>
      <c r="F42" s="1311">
        <f>TRUNC((D42*E42),2)</f>
        <v>185.92</v>
      </c>
    </row>
    <row r="43" spans="1:8" ht="16.5" customHeight="1">
      <c r="A43" s="1312">
        <v>88316</v>
      </c>
      <c r="B43" s="303" t="s">
        <v>68</v>
      </c>
      <c r="C43" s="97" t="s">
        <v>59</v>
      </c>
      <c r="D43" s="231">
        <v>8</v>
      </c>
      <c r="E43" s="228">
        <v>17.82</v>
      </c>
      <c r="F43" s="1311">
        <f>TRUNC((D43*E43),2)</f>
        <v>142.56</v>
      </c>
    </row>
    <row r="44" spans="1:8" ht="16.5" customHeight="1">
      <c r="A44" s="1364"/>
      <c r="B44" s="1313"/>
      <c r="C44" s="32" t="s">
        <v>43</v>
      </c>
      <c r="D44" s="98" t="s">
        <v>43</v>
      </c>
      <c r="E44" s="98"/>
      <c r="F44" s="1314">
        <f>SUM(F42:F43)</f>
        <v>328.48</v>
      </c>
    </row>
    <row r="45" spans="1:8" ht="30.75" customHeight="1">
      <c r="A45" s="1364"/>
      <c r="B45" s="1319" t="s">
        <v>98</v>
      </c>
      <c r="C45" s="92" t="s">
        <v>51</v>
      </c>
      <c r="D45" s="93" t="s">
        <v>52</v>
      </c>
      <c r="E45" s="264" t="s">
        <v>64</v>
      </c>
      <c r="F45" s="1309" t="s">
        <v>54</v>
      </c>
    </row>
    <row r="46" spans="1:8" ht="26.25" customHeight="1">
      <c r="A46" s="391">
        <v>406</v>
      </c>
      <c r="B46" s="401" t="s">
        <v>579</v>
      </c>
      <c r="C46" s="97" t="s">
        <v>57</v>
      </c>
      <c r="D46" s="415">
        <v>0.13333329999999999</v>
      </c>
      <c r="E46" s="228">
        <v>86.14</v>
      </c>
      <c r="F46" s="1311">
        <f>TRUNC((D46*E46),2)</f>
        <v>11.48</v>
      </c>
    </row>
    <row r="47" spans="1:8" ht="38.25" customHeight="1">
      <c r="A47" s="391">
        <v>420</v>
      </c>
      <c r="B47" s="1289" t="s">
        <v>580</v>
      </c>
      <c r="C47" s="97" t="s">
        <v>57</v>
      </c>
      <c r="D47" s="393">
        <v>2</v>
      </c>
      <c r="E47" s="228">
        <v>35.79</v>
      </c>
      <c r="F47" s="1311">
        <f>TRUNC((D47*E47),2)</f>
        <v>71.58</v>
      </c>
    </row>
    <row r="48" spans="1:8" ht="16.5" customHeight="1">
      <c r="A48" s="391">
        <v>857</v>
      </c>
      <c r="B48" s="401" t="s">
        <v>581</v>
      </c>
      <c r="C48" s="97" t="s">
        <v>56</v>
      </c>
      <c r="D48" s="393">
        <v>3</v>
      </c>
      <c r="E48" s="228">
        <v>16.7</v>
      </c>
      <c r="F48" s="1311">
        <f t="shared" ref="F48:F62" si="0">TRUNC((D48*E48),2)</f>
        <v>50.1</v>
      </c>
    </row>
    <row r="49" spans="1:6" ht="26.25" customHeight="1">
      <c r="A49" s="391">
        <v>937</v>
      </c>
      <c r="B49" s="401" t="s">
        <v>582</v>
      </c>
      <c r="C49" s="97" t="s">
        <v>56</v>
      </c>
      <c r="D49" s="393">
        <v>27</v>
      </c>
      <c r="E49" s="228">
        <v>9.18</v>
      </c>
      <c r="F49" s="1311">
        <f t="shared" si="0"/>
        <v>247.86</v>
      </c>
    </row>
    <row r="50" spans="1:6" ht="39.75" customHeight="1">
      <c r="A50" s="391">
        <v>1062</v>
      </c>
      <c r="B50" s="401" t="s">
        <v>583</v>
      </c>
      <c r="C50" s="97" t="s">
        <v>57</v>
      </c>
      <c r="D50" s="393">
        <v>1</v>
      </c>
      <c r="E50" s="228">
        <v>391.75</v>
      </c>
      <c r="F50" s="1311">
        <f t="shared" si="0"/>
        <v>391.75</v>
      </c>
    </row>
    <row r="51" spans="1:6" ht="36.75" customHeight="1" thickBot="1">
      <c r="A51" s="1365">
        <v>1096</v>
      </c>
      <c r="B51" s="1366" t="s">
        <v>584</v>
      </c>
      <c r="C51" s="1367" t="s">
        <v>57</v>
      </c>
      <c r="D51" s="1368">
        <v>2</v>
      </c>
      <c r="E51" s="1369">
        <v>118.77</v>
      </c>
      <c r="F51" s="1370">
        <f t="shared" si="0"/>
        <v>237.54</v>
      </c>
    </row>
    <row r="52" spans="1:6" ht="24" customHeight="1">
      <c r="A52" s="1371">
        <v>1539</v>
      </c>
      <c r="B52" s="1372" t="s">
        <v>585</v>
      </c>
      <c r="C52" s="1373" t="s">
        <v>57</v>
      </c>
      <c r="D52" s="1374">
        <v>8</v>
      </c>
      <c r="E52" s="1375">
        <v>6.71</v>
      </c>
      <c r="F52" s="1397">
        <f t="shared" si="0"/>
        <v>53.68</v>
      </c>
    </row>
    <row r="53" spans="1:6" ht="26.25" customHeight="1">
      <c r="A53" s="1312">
        <v>1892</v>
      </c>
      <c r="B53" s="1419" t="s">
        <v>586</v>
      </c>
      <c r="C53" s="1420" t="s">
        <v>57</v>
      </c>
      <c r="D53" s="1421">
        <v>4</v>
      </c>
      <c r="E53" s="1422">
        <v>1.55</v>
      </c>
      <c r="F53" s="1311">
        <f t="shared" si="0"/>
        <v>6.2</v>
      </c>
    </row>
    <row r="54" spans="1:6" ht="28.5" customHeight="1">
      <c r="A54" s="391">
        <v>2392</v>
      </c>
      <c r="B54" s="401" t="s">
        <v>587</v>
      </c>
      <c r="C54" s="97" t="s">
        <v>57</v>
      </c>
      <c r="D54" s="393">
        <v>1</v>
      </c>
      <c r="E54" s="228">
        <v>85.59</v>
      </c>
      <c r="F54" s="229">
        <f t="shared" si="0"/>
        <v>85.59</v>
      </c>
    </row>
    <row r="55" spans="1:6" ht="26.25" customHeight="1">
      <c r="A55" s="1376">
        <v>2685</v>
      </c>
      <c r="B55" s="793" t="s">
        <v>588</v>
      </c>
      <c r="C55" s="1361" t="s">
        <v>56</v>
      </c>
      <c r="D55" s="1362">
        <v>8</v>
      </c>
      <c r="E55" s="427">
        <v>6.15</v>
      </c>
      <c r="F55" s="1363">
        <f t="shared" si="0"/>
        <v>49.2</v>
      </c>
    </row>
    <row r="56" spans="1:6" ht="24.75" customHeight="1">
      <c r="A56" s="391">
        <v>2731</v>
      </c>
      <c r="B56" s="401" t="s">
        <v>589</v>
      </c>
      <c r="C56" s="97" t="s">
        <v>56</v>
      </c>
      <c r="D56" s="393">
        <v>7.96</v>
      </c>
      <c r="E56" s="228">
        <v>110.97</v>
      </c>
      <c r="F56" s="1311">
        <f t="shared" si="0"/>
        <v>883.32</v>
      </c>
    </row>
    <row r="57" spans="1:6" ht="50.25" customHeight="1">
      <c r="A57" s="391">
        <v>3379</v>
      </c>
      <c r="B57" s="1289" t="s">
        <v>590</v>
      </c>
      <c r="C57" s="97" t="s">
        <v>57</v>
      </c>
      <c r="D57" s="393">
        <v>1</v>
      </c>
      <c r="E57" s="228">
        <v>58.11</v>
      </c>
      <c r="F57" s="1311">
        <f t="shared" si="0"/>
        <v>58.11</v>
      </c>
    </row>
    <row r="58" spans="1:6" ht="44.25" customHeight="1">
      <c r="A58" s="391">
        <v>4346</v>
      </c>
      <c r="B58" s="401" t="s">
        <v>591</v>
      </c>
      <c r="C58" s="97" t="s">
        <v>57</v>
      </c>
      <c r="D58" s="393">
        <v>2</v>
      </c>
      <c r="E58" s="228">
        <v>10.49</v>
      </c>
      <c r="F58" s="1311">
        <f t="shared" si="0"/>
        <v>20.98</v>
      </c>
    </row>
    <row r="59" spans="1:6" ht="24" customHeight="1">
      <c r="A59" s="391">
        <v>11267</v>
      </c>
      <c r="B59" s="401" t="s">
        <v>592</v>
      </c>
      <c r="C59" s="97" t="s">
        <v>57</v>
      </c>
      <c r="D59" s="393">
        <v>2</v>
      </c>
      <c r="E59" s="228">
        <v>0.96</v>
      </c>
      <c r="F59" s="1311">
        <f t="shared" si="0"/>
        <v>1.92</v>
      </c>
    </row>
    <row r="60" spans="1:6" ht="24" customHeight="1">
      <c r="A60" s="391">
        <v>12034</v>
      </c>
      <c r="B60" s="401" t="s">
        <v>593</v>
      </c>
      <c r="C60" s="97" t="s">
        <v>57</v>
      </c>
      <c r="D60" s="393">
        <v>2</v>
      </c>
      <c r="E60" s="228">
        <v>4.3899999999999997</v>
      </c>
      <c r="F60" s="1311">
        <f t="shared" si="0"/>
        <v>8.7799999999999994</v>
      </c>
    </row>
    <row r="61" spans="1:6" ht="25.5" customHeight="1">
      <c r="A61" s="391">
        <v>39176</v>
      </c>
      <c r="B61" s="401" t="s">
        <v>594</v>
      </c>
      <c r="C61" s="97" t="s">
        <v>57</v>
      </c>
      <c r="D61" s="393">
        <v>2</v>
      </c>
      <c r="E61" s="228">
        <v>1.1100000000000001</v>
      </c>
      <c r="F61" s="1311">
        <f t="shared" si="0"/>
        <v>2.2200000000000002</v>
      </c>
    </row>
    <row r="62" spans="1:6" ht="24" customHeight="1">
      <c r="A62" s="391">
        <v>39210</v>
      </c>
      <c r="B62" s="401" t="s">
        <v>595</v>
      </c>
      <c r="C62" s="97" t="s">
        <v>57</v>
      </c>
      <c r="D62" s="393">
        <v>2</v>
      </c>
      <c r="E62" s="228">
        <v>0.83</v>
      </c>
      <c r="F62" s="1311">
        <f t="shared" si="0"/>
        <v>1.66</v>
      </c>
    </row>
    <row r="63" spans="1:6" ht="16.5" customHeight="1">
      <c r="A63" s="138"/>
      <c r="B63" s="194"/>
      <c r="C63" s="146"/>
      <c r="D63" s="195"/>
      <c r="E63" s="195"/>
      <c r="F63" s="408">
        <f>SUM(F46:F62)</f>
        <v>2181.9700000000003</v>
      </c>
    </row>
    <row r="64" spans="1:6" ht="16.5" customHeight="1" thickBot="1">
      <c r="A64" s="1377"/>
      <c r="B64" s="2134" t="s">
        <v>55</v>
      </c>
      <c r="C64" s="2135"/>
      <c r="D64" s="2135"/>
      <c r="E64" s="2135"/>
      <c r="F64" s="1378">
        <f>F44+F63</f>
        <v>2510.4500000000003</v>
      </c>
    </row>
    <row r="65" spans="1:8" ht="16.5" customHeight="1" thickBot="1">
      <c r="A65" s="205"/>
      <c r="B65" s="205"/>
      <c r="C65" s="205"/>
      <c r="D65" s="205"/>
      <c r="E65" s="205"/>
      <c r="F65" s="205"/>
    </row>
    <row r="66" spans="1:8" ht="24.75" customHeight="1">
      <c r="A66" s="424" t="s">
        <v>596</v>
      </c>
      <c r="B66" s="459" t="s">
        <v>436</v>
      </c>
      <c r="C66" s="354" t="s">
        <v>428</v>
      </c>
      <c r="D66" s="354"/>
      <c r="E66" s="355"/>
      <c r="F66" s="460"/>
    </row>
    <row r="67" spans="1:8" ht="16.5" customHeight="1">
      <c r="A67" s="356"/>
      <c r="B67" s="2150" t="s">
        <v>529</v>
      </c>
      <c r="C67" s="2151"/>
      <c r="D67" s="2151"/>
      <c r="E67" s="2151"/>
      <c r="F67" s="2152"/>
      <c r="H67" s="1358" t="s">
        <v>489</v>
      </c>
    </row>
    <row r="68" spans="1:8" ht="28.5" customHeight="1">
      <c r="A68" s="356"/>
      <c r="B68" s="261" t="s">
        <v>58</v>
      </c>
      <c r="C68" s="339" t="s">
        <v>429</v>
      </c>
      <c r="D68" s="339" t="s">
        <v>430</v>
      </c>
      <c r="E68" s="371" t="s">
        <v>431</v>
      </c>
      <c r="F68" s="357" t="s">
        <v>432</v>
      </c>
    </row>
    <row r="69" spans="1:8" ht="16.5" customHeight="1">
      <c r="A69" s="358">
        <v>88309</v>
      </c>
      <c r="B69" s="359" t="s">
        <v>107</v>
      </c>
      <c r="C69" s="336" t="s">
        <v>433</v>
      </c>
      <c r="D69" s="206">
        <v>3.5</v>
      </c>
      <c r="E69" s="336">
        <v>22.41</v>
      </c>
      <c r="F69" s="360">
        <f>TRUNC(D69*E69,2)</f>
        <v>78.430000000000007</v>
      </c>
    </row>
    <row r="70" spans="1:8" ht="16.5" customHeight="1">
      <c r="A70" s="358">
        <v>88316</v>
      </c>
      <c r="B70" s="359" t="s">
        <v>68</v>
      </c>
      <c r="C70" s="336" t="s">
        <v>433</v>
      </c>
      <c r="D70" s="206">
        <v>13</v>
      </c>
      <c r="E70" s="206">
        <v>17.82</v>
      </c>
      <c r="F70" s="360">
        <f>TRUNC(D70*E70,2)</f>
        <v>231.66</v>
      </c>
    </row>
    <row r="71" spans="1:8" ht="16.5" customHeight="1">
      <c r="A71" s="358"/>
      <c r="B71" s="372"/>
      <c r="C71" s="336"/>
      <c r="D71" s="206"/>
      <c r="E71" s="299" t="s">
        <v>60</v>
      </c>
      <c r="F71" s="367">
        <f>SUM(F69:F70)</f>
        <v>310.09000000000003</v>
      </c>
    </row>
    <row r="72" spans="1:8" ht="24" customHeight="1">
      <c r="A72" s="356"/>
      <c r="B72" s="368" t="s">
        <v>98</v>
      </c>
      <c r="C72" s="339" t="s">
        <v>429</v>
      </c>
      <c r="D72" s="339" t="s">
        <v>430</v>
      </c>
      <c r="E72" s="371" t="s">
        <v>431</v>
      </c>
      <c r="F72" s="357" t="s">
        <v>432</v>
      </c>
    </row>
    <row r="73" spans="1:8" ht="24" customHeight="1">
      <c r="A73" s="358">
        <v>370</v>
      </c>
      <c r="B73" s="359" t="s">
        <v>434</v>
      </c>
      <c r="C73" s="336" t="s">
        <v>49</v>
      </c>
      <c r="D73" s="361">
        <v>0.12</v>
      </c>
      <c r="E73" s="206">
        <v>105.05</v>
      </c>
      <c r="F73" s="360">
        <f>TRUNC(D73*E73,2)</f>
        <v>12.6</v>
      </c>
    </row>
    <row r="74" spans="1:8" ht="24" customHeight="1">
      <c r="A74" s="362">
        <v>4718</v>
      </c>
      <c r="B74" s="359" t="s">
        <v>435</v>
      </c>
      <c r="C74" s="336" t="s">
        <v>49</v>
      </c>
      <c r="D74" s="361">
        <v>0.2</v>
      </c>
      <c r="E74" s="206">
        <v>84.85</v>
      </c>
      <c r="F74" s="360">
        <f>TRUNC(D74*E74,2)</f>
        <v>16.97</v>
      </c>
    </row>
    <row r="75" spans="1:8" ht="16.5" customHeight="1">
      <c r="A75" s="362">
        <v>1379</v>
      </c>
      <c r="B75" s="359" t="s">
        <v>178</v>
      </c>
      <c r="C75" s="336" t="s">
        <v>72</v>
      </c>
      <c r="D75" s="361">
        <v>40</v>
      </c>
      <c r="E75" s="206">
        <v>0.78</v>
      </c>
      <c r="F75" s="360">
        <f>TRUNC(D75*E75,2)</f>
        <v>31.2</v>
      </c>
    </row>
    <row r="76" spans="1:8" ht="24" customHeight="1">
      <c r="A76" s="373">
        <v>39362</v>
      </c>
      <c r="B76" s="208" t="s">
        <v>1812</v>
      </c>
      <c r="C76" s="338" t="s">
        <v>429</v>
      </c>
      <c r="D76" s="374">
        <v>1</v>
      </c>
      <c r="E76" s="375">
        <v>3977.39</v>
      </c>
      <c r="F76" s="376">
        <f>TRUNC(D76*E76,2)</f>
        <v>3977.39</v>
      </c>
    </row>
    <row r="77" spans="1:8" ht="16.5" customHeight="1">
      <c r="A77" s="362"/>
      <c r="B77" s="359"/>
      <c r="C77" s="336"/>
      <c r="D77" s="361"/>
      <c r="E77" s="299" t="s">
        <v>60</v>
      </c>
      <c r="F77" s="83">
        <f>SUM(F73:F76)</f>
        <v>4038.16</v>
      </c>
    </row>
    <row r="78" spans="1:8" ht="16.5" customHeight="1" thickBot="1">
      <c r="A78" s="102"/>
      <c r="B78" s="2157" t="s">
        <v>55</v>
      </c>
      <c r="C78" s="2157"/>
      <c r="D78" s="2157"/>
      <c r="E78" s="2157"/>
      <c r="F78" s="103">
        <f>F71+F77</f>
        <v>4348.25</v>
      </c>
    </row>
    <row r="79" spans="1:8" ht="16.5" customHeight="1" thickBot="1">
      <c r="A79" s="205"/>
      <c r="B79" s="205"/>
      <c r="C79" s="205"/>
      <c r="D79" s="205"/>
      <c r="E79" s="205"/>
      <c r="F79" s="205"/>
    </row>
    <row r="80" spans="1:8" ht="40.5" customHeight="1">
      <c r="A80" s="151" t="s">
        <v>1513</v>
      </c>
      <c r="B80" s="421" t="s">
        <v>2238</v>
      </c>
      <c r="C80" s="152" t="s">
        <v>57</v>
      </c>
      <c r="D80" s="153"/>
      <c r="E80" s="154"/>
      <c r="F80" s="155"/>
      <c r="H80" s="740" t="s">
        <v>385</v>
      </c>
    </row>
    <row r="81" spans="1:8" ht="16.5" customHeight="1">
      <c r="A81" s="2105" t="s">
        <v>1515</v>
      </c>
      <c r="B81" s="2106"/>
      <c r="C81" s="2106"/>
      <c r="D81" s="2106"/>
      <c r="E81" s="2106"/>
      <c r="F81" s="2107"/>
      <c r="H81" s="1358" t="s">
        <v>489</v>
      </c>
    </row>
    <row r="82" spans="1:8" ht="30.75" customHeight="1">
      <c r="A82" s="90"/>
      <c r="B82" s="91" t="s">
        <v>58</v>
      </c>
      <c r="C82" s="92" t="s">
        <v>51</v>
      </c>
      <c r="D82" s="93" t="s">
        <v>52</v>
      </c>
      <c r="E82" s="105" t="s">
        <v>64</v>
      </c>
      <c r="F82" s="94" t="s">
        <v>54</v>
      </c>
    </row>
    <row r="83" spans="1:8" ht="16.5" customHeight="1">
      <c r="A83" s="391">
        <v>88309</v>
      </c>
      <c r="B83" s="1404" t="s">
        <v>107</v>
      </c>
      <c r="C83" s="97" t="s">
        <v>59</v>
      </c>
      <c r="D83" s="231">
        <v>2.73</v>
      </c>
      <c r="E83" s="1765">
        <v>22.41</v>
      </c>
      <c r="F83" s="229">
        <f>TRUNC((D83*E83),2)</f>
        <v>61.17</v>
      </c>
      <c r="H83" s="126">
        <f>2.73*1</f>
        <v>2.73</v>
      </c>
    </row>
    <row r="84" spans="1:8" ht="20.25" customHeight="1">
      <c r="A84" s="1310">
        <v>88316</v>
      </c>
      <c r="B84" s="1404" t="s">
        <v>68</v>
      </c>
      <c r="C84" s="97" t="s">
        <v>59</v>
      </c>
      <c r="D84" s="231">
        <v>4.0949999999999998</v>
      </c>
      <c r="E84" s="206">
        <v>17.82</v>
      </c>
      <c r="F84" s="229">
        <f>TRUNC((D84*E84),2)</f>
        <v>72.97</v>
      </c>
      <c r="H84" s="126">
        <f>2.73*1.5</f>
        <v>4.0949999999999998</v>
      </c>
    </row>
    <row r="85" spans="1:8" ht="28.5" customHeight="1">
      <c r="A85" s="391"/>
      <c r="B85" s="96"/>
      <c r="C85" s="97" t="s">
        <v>43</v>
      </c>
      <c r="D85" s="98" t="s">
        <v>43</v>
      </c>
      <c r="E85" s="299" t="s">
        <v>60</v>
      </c>
      <c r="F85" s="1395">
        <f>SUM(F83:F84)</f>
        <v>134.13999999999999</v>
      </c>
    </row>
    <row r="86" spans="1:8" ht="30" customHeight="1">
      <c r="A86" s="391"/>
      <c r="B86" s="1389" t="s">
        <v>98</v>
      </c>
      <c r="C86" s="92" t="s">
        <v>51</v>
      </c>
      <c r="D86" s="93" t="s">
        <v>52</v>
      </c>
      <c r="E86" s="105" t="s">
        <v>64</v>
      </c>
      <c r="F86" s="94" t="s">
        <v>54</v>
      </c>
    </row>
    <row r="87" spans="1:8" ht="39" customHeight="1">
      <c r="A87" s="358">
        <v>88630</v>
      </c>
      <c r="B87" s="208" t="s">
        <v>1720</v>
      </c>
      <c r="C87" s="97" t="s">
        <v>49</v>
      </c>
      <c r="D87" s="605">
        <v>8.1899999999999994E-3</v>
      </c>
      <c r="E87" s="228">
        <v>463.07</v>
      </c>
      <c r="F87" s="229">
        <f>TRUNC((D87*E87),2)</f>
        <v>3.79</v>
      </c>
      <c r="H87" s="126">
        <f>2.73*0.003</f>
        <v>8.1899999999999994E-3</v>
      </c>
    </row>
    <row r="88" spans="1:8" ht="38.25" customHeight="1">
      <c r="A88" s="358" t="s">
        <v>67</v>
      </c>
      <c r="B88" s="208" t="s">
        <v>2239</v>
      </c>
      <c r="C88" s="97" t="s">
        <v>57</v>
      </c>
      <c r="D88" s="232">
        <v>1</v>
      </c>
      <c r="E88" s="228">
        <v>3503</v>
      </c>
      <c r="F88" s="229">
        <f>TRUNC((D88*E88),2)</f>
        <v>3503</v>
      </c>
      <c r="G88" s="813">
        <f>C97</f>
        <v>3503</v>
      </c>
      <c r="H88" s="510"/>
    </row>
    <row r="89" spans="1:8" ht="14.25" customHeight="1">
      <c r="A89" s="138"/>
      <c r="B89" s="194"/>
      <c r="C89" s="146"/>
      <c r="D89" s="195"/>
      <c r="E89" s="299" t="s">
        <v>60</v>
      </c>
      <c r="F89" s="94">
        <f>SUM(F87:F88)</f>
        <v>3506.79</v>
      </c>
      <c r="H89" s="510"/>
    </row>
    <row r="90" spans="1:8" ht="16.5" customHeight="1" thickBot="1">
      <c r="A90" s="1377"/>
      <c r="B90" s="2108" t="s">
        <v>55</v>
      </c>
      <c r="C90" s="2108"/>
      <c r="D90" s="2108"/>
      <c r="E90" s="2108"/>
      <c r="F90" s="1378">
        <f>F85+F89</f>
        <v>3640.93</v>
      </c>
      <c r="H90" s="510"/>
    </row>
    <row r="91" spans="1:8" ht="54" customHeight="1" thickBot="1">
      <c r="A91" s="295"/>
      <c r="B91" s="296" t="s">
        <v>1518</v>
      </c>
      <c r="C91" s="2109" t="s">
        <v>1516</v>
      </c>
      <c r="D91" s="2109"/>
      <c r="E91" s="297"/>
      <c r="F91" s="627" t="s">
        <v>1517</v>
      </c>
      <c r="H91" s="344">
        <f>1.3*2.1</f>
        <v>2.7300000000000004</v>
      </c>
    </row>
    <row r="92" spans="1:8" ht="16.5" customHeight="1">
      <c r="A92" s="473"/>
      <c r="B92" s="2120" t="s">
        <v>99</v>
      </c>
      <c r="C92" s="2121"/>
      <c r="D92" s="2121"/>
      <c r="E92" s="2122"/>
      <c r="F92" s="474"/>
    </row>
    <row r="93" spans="1:8" ht="25.5" customHeight="1">
      <c r="A93" s="160" t="s">
        <v>61</v>
      </c>
      <c r="B93" s="105" t="s">
        <v>100</v>
      </c>
      <c r="C93" s="298" t="s">
        <v>101</v>
      </c>
      <c r="D93" s="2098" t="s">
        <v>62</v>
      </c>
      <c r="E93" s="2098"/>
      <c r="F93" s="161" t="s">
        <v>102</v>
      </c>
    </row>
    <row r="94" spans="1:8" ht="32.25" customHeight="1" thickBot="1">
      <c r="A94" s="1379">
        <v>44708</v>
      </c>
      <c r="B94" s="1380" t="s">
        <v>2182</v>
      </c>
      <c r="C94" s="1381">
        <v>3503</v>
      </c>
      <c r="D94" s="2110" t="s">
        <v>2206</v>
      </c>
      <c r="E94" s="2111"/>
      <c r="F94" s="1382" t="s">
        <v>2233</v>
      </c>
      <c r="H94" s="1353"/>
    </row>
    <row r="95" spans="1:8" ht="34.5" customHeight="1">
      <c r="A95" s="1423">
        <v>44707</v>
      </c>
      <c r="B95" s="1405" t="s">
        <v>2184</v>
      </c>
      <c r="C95" s="1424">
        <v>10890</v>
      </c>
      <c r="D95" s="2112" t="s">
        <v>2207</v>
      </c>
      <c r="E95" s="2113"/>
      <c r="F95" s="1425" t="s">
        <v>2183</v>
      </c>
      <c r="H95" s="1353"/>
    </row>
    <row r="96" spans="1:8" ht="28.5" customHeight="1">
      <c r="A96" s="1439">
        <v>44708</v>
      </c>
      <c r="B96" s="1440" t="s">
        <v>2218</v>
      </c>
      <c r="C96" s="1441">
        <v>3276</v>
      </c>
      <c r="D96" s="2114" t="s">
        <v>184</v>
      </c>
      <c r="E96" s="2115"/>
      <c r="F96" s="1793" t="s">
        <v>2217</v>
      </c>
    </row>
    <row r="97" spans="1:8" ht="15" customHeight="1" thickBot="1">
      <c r="A97" s="143"/>
      <c r="B97" s="316" t="s">
        <v>63</v>
      </c>
      <c r="C97" s="144">
        <f>MEDIAN(C94:C96)</f>
        <v>3503</v>
      </c>
      <c r="D97" s="2116"/>
      <c r="E97" s="2116"/>
      <c r="F97" s="145"/>
    </row>
    <row r="98" spans="1:8" ht="16.5" customHeight="1" thickBot="1">
      <c r="A98" s="205"/>
      <c r="B98" s="205"/>
      <c r="C98" s="205"/>
      <c r="D98" s="205"/>
      <c r="E98" s="205"/>
      <c r="F98" s="205"/>
    </row>
    <row r="99" spans="1:8" ht="37.5" customHeight="1">
      <c r="A99" s="151" t="s">
        <v>597</v>
      </c>
      <c r="B99" s="421" t="s">
        <v>1519</v>
      </c>
      <c r="C99" s="152" t="s">
        <v>57</v>
      </c>
      <c r="D99" s="153"/>
      <c r="E99" s="154"/>
      <c r="F99" s="155"/>
      <c r="H99" s="1452" t="s">
        <v>750</v>
      </c>
    </row>
    <row r="100" spans="1:8" ht="16.5" customHeight="1">
      <c r="A100" s="2105" t="s">
        <v>1637</v>
      </c>
      <c r="B100" s="2106"/>
      <c r="C100" s="2106"/>
      <c r="D100" s="2106"/>
      <c r="E100" s="2106"/>
      <c r="F100" s="2107"/>
    </row>
    <row r="101" spans="1:8" ht="28.5" customHeight="1">
      <c r="A101" s="90"/>
      <c r="B101" s="91" t="s">
        <v>58</v>
      </c>
      <c r="C101" s="92" t="s">
        <v>51</v>
      </c>
      <c r="D101" s="93" t="s">
        <v>52</v>
      </c>
      <c r="E101" s="105" t="s">
        <v>64</v>
      </c>
      <c r="F101" s="94" t="s">
        <v>54</v>
      </c>
    </row>
    <row r="102" spans="1:8" ht="29.25" customHeight="1">
      <c r="A102" s="391"/>
      <c r="B102" s="101"/>
      <c r="C102" s="97"/>
      <c r="D102" s="232"/>
      <c r="E102" s="206"/>
      <c r="F102" s="229"/>
    </row>
    <row r="103" spans="1:8" ht="26.25" customHeight="1">
      <c r="A103" s="391"/>
      <c r="B103" s="96"/>
      <c r="C103" s="97" t="s">
        <v>43</v>
      </c>
      <c r="D103" s="98" t="s">
        <v>43</v>
      </c>
      <c r="E103" s="299" t="s">
        <v>60</v>
      </c>
      <c r="F103" s="94">
        <f>SUM(F102:F102)</f>
        <v>0</v>
      </c>
    </row>
    <row r="104" spans="1:8" ht="27" customHeight="1">
      <c r="A104" s="391"/>
      <c r="B104" s="1389" t="s">
        <v>98</v>
      </c>
      <c r="C104" s="92" t="s">
        <v>51</v>
      </c>
      <c r="D104" s="93" t="s">
        <v>52</v>
      </c>
      <c r="E104" s="105" t="s">
        <v>64</v>
      </c>
      <c r="F104" s="94" t="s">
        <v>54</v>
      </c>
    </row>
    <row r="105" spans="1:8" ht="39.75" customHeight="1">
      <c r="A105" s="488" t="s">
        <v>67</v>
      </c>
      <c r="B105" s="812" t="s">
        <v>2395</v>
      </c>
      <c r="C105" s="97" t="s">
        <v>57</v>
      </c>
      <c r="D105" s="231">
        <v>1</v>
      </c>
      <c r="E105" s="206">
        <v>1860</v>
      </c>
      <c r="F105" s="1390">
        <f>TRUNC((D105*E105),2)</f>
        <v>1860</v>
      </c>
      <c r="G105" s="563">
        <f>C113</f>
        <v>1860</v>
      </c>
    </row>
    <row r="106" spans="1:8" ht="15.75" customHeight="1">
      <c r="A106" s="513"/>
      <c r="B106" s="194"/>
      <c r="C106" s="146"/>
      <c r="D106" s="195"/>
      <c r="E106" s="299" t="s">
        <v>60</v>
      </c>
      <c r="F106" s="83">
        <f>SUM(F105:F105)</f>
        <v>1860</v>
      </c>
      <c r="H106" s="126"/>
    </row>
    <row r="107" spans="1:8" ht="16.5" customHeight="1" thickBot="1">
      <c r="A107" s="1377"/>
      <c r="B107" s="2123" t="s">
        <v>55</v>
      </c>
      <c r="C107" s="2123"/>
      <c r="D107" s="2123"/>
      <c r="E107" s="2123"/>
      <c r="F107" s="1391">
        <f>F103+F106</f>
        <v>1860</v>
      </c>
      <c r="H107" s="955"/>
    </row>
    <row r="108" spans="1:8" ht="18.75" customHeight="1">
      <c r="A108" s="197"/>
      <c r="B108" s="2095" t="s">
        <v>99</v>
      </c>
      <c r="C108" s="2096"/>
      <c r="D108" s="2096"/>
      <c r="E108" s="2097"/>
      <c r="F108" s="198"/>
      <c r="H108" s="955"/>
    </row>
    <row r="109" spans="1:8" ht="26.25" customHeight="1">
      <c r="A109" s="160" t="s">
        <v>61</v>
      </c>
      <c r="B109" s="105" t="s">
        <v>100</v>
      </c>
      <c r="C109" s="298" t="s">
        <v>101</v>
      </c>
      <c r="D109" s="2098" t="s">
        <v>62</v>
      </c>
      <c r="E109" s="2098"/>
      <c r="F109" s="161" t="s">
        <v>102</v>
      </c>
      <c r="H109" s="955"/>
    </row>
    <row r="110" spans="1:8" ht="30" customHeight="1">
      <c r="A110" s="227">
        <v>44708</v>
      </c>
      <c r="B110" s="208" t="s">
        <v>1815</v>
      </c>
      <c r="C110" s="206">
        <v>1181.79</v>
      </c>
      <c r="D110" s="2099" t="s">
        <v>1813</v>
      </c>
      <c r="E110" s="2100"/>
      <c r="F110" s="142" t="s">
        <v>1814</v>
      </c>
      <c r="H110" s="126"/>
    </row>
    <row r="111" spans="1:8" ht="27" customHeight="1">
      <c r="A111" s="227">
        <v>44708</v>
      </c>
      <c r="B111" s="208" t="s">
        <v>2219</v>
      </c>
      <c r="C111" s="206">
        <v>1860</v>
      </c>
      <c r="D111" s="2099" t="s">
        <v>2220</v>
      </c>
      <c r="E111" s="2100"/>
      <c r="F111" s="142" t="s">
        <v>2221</v>
      </c>
      <c r="H111" s="743"/>
    </row>
    <row r="112" spans="1:8" ht="18" customHeight="1">
      <c r="A112" s="227">
        <v>44701</v>
      </c>
      <c r="B112" s="411" t="s">
        <v>2259</v>
      </c>
      <c r="C112" s="206">
        <v>2650</v>
      </c>
      <c r="D112" s="2099" t="s">
        <v>2260</v>
      </c>
      <c r="E112" s="2100"/>
      <c r="F112" s="142" t="s">
        <v>2261</v>
      </c>
      <c r="G112" s="430"/>
      <c r="H112" s="126"/>
    </row>
    <row r="113" spans="1:10" ht="16.5" customHeight="1" thickBot="1">
      <c r="A113" s="143"/>
      <c r="B113" s="316" t="s">
        <v>63</v>
      </c>
      <c r="C113" s="144">
        <f>MEDIAN(C110:C112)</f>
        <v>1860</v>
      </c>
      <c r="D113" s="2103"/>
      <c r="E113" s="2104"/>
      <c r="F113" s="145"/>
    </row>
    <row r="114" spans="1:10" ht="16.5" customHeight="1" thickBot="1">
      <c r="A114" s="303"/>
      <c r="B114" s="749"/>
      <c r="C114" s="747"/>
      <c r="D114" s="205"/>
      <c r="E114" s="205"/>
      <c r="F114" s="303"/>
    </row>
    <row r="115" spans="1:10" ht="39" customHeight="1">
      <c r="A115" s="151" t="s">
        <v>163</v>
      </c>
      <c r="B115" s="511" t="s">
        <v>1550</v>
      </c>
      <c r="C115" s="152" t="s">
        <v>57</v>
      </c>
      <c r="D115" s="153"/>
      <c r="E115" s="153"/>
      <c r="F115" s="399"/>
    </row>
    <row r="116" spans="1:10" ht="17.25" customHeight="1">
      <c r="A116" s="2117" t="s">
        <v>467</v>
      </c>
      <c r="B116" s="2118"/>
      <c r="C116" s="2118"/>
      <c r="D116" s="2118"/>
      <c r="E116" s="2118"/>
      <c r="F116" s="2119"/>
      <c r="H116" s="1358" t="s">
        <v>489</v>
      </c>
    </row>
    <row r="117" spans="1:10" ht="27.75" customHeight="1">
      <c r="A117" s="186"/>
      <c r="B117" s="183" t="s">
        <v>58</v>
      </c>
      <c r="C117" s="92" t="s">
        <v>51</v>
      </c>
      <c r="D117" s="93" t="s">
        <v>52</v>
      </c>
      <c r="E117" s="264" t="s">
        <v>64</v>
      </c>
      <c r="F117" s="187" t="s">
        <v>54</v>
      </c>
    </row>
    <row r="118" spans="1:10" ht="30" customHeight="1">
      <c r="A118" s="391">
        <v>88267</v>
      </c>
      <c r="B118" s="208" t="s">
        <v>106</v>
      </c>
      <c r="C118" s="97" t="s">
        <v>59</v>
      </c>
      <c r="D118" s="231">
        <v>0.94850000000000001</v>
      </c>
      <c r="E118" s="228">
        <v>22.37</v>
      </c>
      <c r="F118" s="188">
        <f>TRUNC((D118*E118),2)</f>
        <v>21.21</v>
      </c>
    </row>
    <row r="119" spans="1:10" ht="16.5" customHeight="1">
      <c r="A119" s="392">
        <v>88316</v>
      </c>
      <c r="B119" s="407" t="s">
        <v>68</v>
      </c>
      <c r="C119" s="97" t="s">
        <v>59</v>
      </c>
      <c r="D119" s="231">
        <v>0.29880000000000001</v>
      </c>
      <c r="E119" s="228">
        <v>17.82</v>
      </c>
      <c r="F119" s="188">
        <f>TRUNC((D119*E119),2)</f>
        <v>5.32</v>
      </c>
    </row>
    <row r="120" spans="1:10" ht="16.5" customHeight="1">
      <c r="A120" s="190"/>
      <c r="B120" s="185"/>
      <c r="C120" s="32" t="s">
        <v>43</v>
      </c>
      <c r="D120" s="98" t="s">
        <v>43</v>
      </c>
      <c r="E120" s="93" t="s">
        <v>60</v>
      </c>
      <c r="F120" s="187">
        <f>SUM(F118:F119)</f>
        <v>26.53</v>
      </c>
    </row>
    <row r="121" spans="1:10" ht="27" customHeight="1">
      <c r="A121" s="190"/>
      <c r="B121" s="183" t="s">
        <v>98</v>
      </c>
      <c r="C121" s="92" t="s">
        <v>51</v>
      </c>
      <c r="D121" s="93" t="s">
        <v>52</v>
      </c>
      <c r="E121" s="264" t="s">
        <v>64</v>
      </c>
      <c r="F121" s="187" t="s">
        <v>54</v>
      </c>
    </row>
    <row r="122" spans="1:10" ht="24" customHeight="1">
      <c r="A122" s="358" t="s">
        <v>67</v>
      </c>
      <c r="B122" s="208" t="s">
        <v>466</v>
      </c>
      <c r="C122" s="97" t="s">
        <v>57</v>
      </c>
      <c r="D122" s="393">
        <v>1</v>
      </c>
      <c r="E122" s="228">
        <v>119.9</v>
      </c>
      <c r="F122" s="188">
        <f>TRUNC((D122*E122),2)</f>
        <v>119.9</v>
      </c>
    </row>
    <row r="123" spans="1:10" ht="40.5" customHeight="1">
      <c r="A123" s="400">
        <v>4351</v>
      </c>
      <c r="B123" s="208" t="s">
        <v>465</v>
      </c>
      <c r="C123" s="97" t="s">
        <v>57</v>
      </c>
      <c r="D123" s="393">
        <v>6</v>
      </c>
      <c r="E123" s="228">
        <v>18.02</v>
      </c>
      <c r="F123" s="188">
        <f>TRUNC((D123*E123),2)</f>
        <v>108.12</v>
      </c>
      <c r="H123" s="744" t="s">
        <v>1524</v>
      </c>
      <c r="I123" s="62"/>
      <c r="J123" s="62"/>
    </row>
    <row r="124" spans="1:10" ht="16.5" customHeight="1">
      <c r="A124" s="138"/>
      <c r="B124" s="194"/>
      <c r="C124" s="146"/>
      <c r="D124" s="195"/>
      <c r="E124" s="1426" t="s">
        <v>60</v>
      </c>
      <c r="F124" s="94">
        <f>SUM(F122:F123)</f>
        <v>228.02</v>
      </c>
      <c r="I124" s="412"/>
      <c r="J124" s="412"/>
    </row>
    <row r="125" spans="1:10" ht="16.5" customHeight="1" thickBot="1">
      <c r="A125" s="102"/>
      <c r="B125" s="2134" t="s">
        <v>55</v>
      </c>
      <c r="C125" s="2135"/>
      <c r="D125" s="2135"/>
      <c r="E125" s="2135"/>
      <c r="F125" s="409">
        <f>F120+F124</f>
        <v>254.55</v>
      </c>
      <c r="I125" s="412"/>
      <c r="J125" s="412"/>
    </row>
    <row r="126" spans="1:10" ht="15" customHeight="1">
      <c r="A126" s="197"/>
      <c r="B126" s="2095" t="s">
        <v>99</v>
      </c>
      <c r="C126" s="2096"/>
      <c r="D126" s="2096"/>
      <c r="E126" s="2097"/>
      <c r="F126" s="198"/>
      <c r="I126" s="62"/>
      <c r="J126" s="62"/>
    </row>
    <row r="127" spans="1:10" ht="27.75" customHeight="1">
      <c r="A127" s="160" t="s">
        <v>61</v>
      </c>
      <c r="B127" s="105" t="s">
        <v>100</v>
      </c>
      <c r="C127" s="298" t="s">
        <v>101</v>
      </c>
      <c r="D127" s="2098" t="s">
        <v>62</v>
      </c>
      <c r="E127" s="2098"/>
      <c r="F127" s="161" t="s">
        <v>102</v>
      </c>
    </row>
    <row r="128" spans="1:10" ht="26.25" customHeight="1">
      <c r="A128" s="227">
        <v>44708</v>
      </c>
      <c r="B128" s="208" t="s">
        <v>2210</v>
      </c>
      <c r="C128" s="206">
        <v>230</v>
      </c>
      <c r="D128" s="2099" t="s">
        <v>2357</v>
      </c>
      <c r="E128" s="2100"/>
      <c r="F128" s="142" t="s">
        <v>2211</v>
      </c>
      <c r="H128" s="1354"/>
    </row>
    <row r="129" spans="1:9" ht="29.25" customHeight="1">
      <c r="A129" s="227">
        <v>44707</v>
      </c>
      <c r="B129" s="208" t="s">
        <v>185</v>
      </c>
      <c r="C129" s="206">
        <v>99.9</v>
      </c>
      <c r="D129" s="2099" t="s">
        <v>2212</v>
      </c>
      <c r="E129" s="2100"/>
      <c r="F129" s="142" t="s">
        <v>2216</v>
      </c>
      <c r="H129" s="413"/>
    </row>
    <row r="130" spans="1:9" ht="25.5">
      <c r="A130" s="227">
        <v>44707</v>
      </c>
      <c r="B130" s="411" t="s">
        <v>2213</v>
      </c>
      <c r="C130" s="206">
        <v>119.9</v>
      </c>
      <c r="D130" s="2099" t="s">
        <v>2214</v>
      </c>
      <c r="E130" s="2100"/>
      <c r="F130" s="142" t="s">
        <v>2215</v>
      </c>
      <c r="H130" s="412"/>
    </row>
    <row r="131" spans="1:9" ht="15.75" thickBot="1">
      <c r="A131" s="143"/>
      <c r="B131" s="316" t="s">
        <v>63</v>
      </c>
      <c r="C131" s="144">
        <f>MEDIAN(C128:C130)</f>
        <v>119.9</v>
      </c>
      <c r="D131" s="2103"/>
      <c r="E131" s="2104"/>
      <c r="F131" s="145"/>
      <c r="H131" s="62"/>
    </row>
    <row r="132" spans="1:9" ht="15.75" thickBot="1">
      <c r="A132" s="205"/>
      <c r="B132" s="205"/>
      <c r="C132" s="205"/>
      <c r="D132" s="205"/>
      <c r="E132" s="205"/>
      <c r="F132" s="205"/>
    </row>
    <row r="133" spans="1:9" ht="30.75" customHeight="1">
      <c r="A133" s="151" t="s">
        <v>599</v>
      </c>
      <c r="B133" s="421" t="s">
        <v>1498</v>
      </c>
      <c r="C133" s="152" t="s">
        <v>57</v>
      </c>
      <c r="D133" s="153"/>
      <c r="E133" s="154"/>
      <c r="F133" s="155"/>
      <c r="H133" s="1452" t="s">
        <v>384</v>
      </c>
    </row>
    <row r="134" spans="1:9">
      <c r="A134" s="2105" t="s">
        <v>1637</v>
      </c>
      <c r="B134" s="2106"/>
      <c r="C134" s="2106"/>
      <c r="D134" s="2106"/>
      <c r="E134" s="2106"/>
      <c r="F134" s="2107"/>
    </row>
    <row r="135" spans="1:9" ht="30">
      <c r="A135" s="90"/>
      <c r="B135" s="91" t="s">
        <v>58</v>
      </c>
      <c r="C135" s="92" t="s">
        <v>51</v>
      </c>
      <c r="D135" s="93" t="s">
        <v>52</v>
      </c>
      <c r="E135" s="105" t="s">
        <v>64</v>
      </c>
      <c r="F135" s="94" t="s">
        <v>54</v>
      </c>
      <c r="G135" s="394"/>
    </row>
    <row r="136" spans="1:9">
      <c r="A136" s="391"/>
      <c r="B136" s="101"/>
      <c r="C136" s="97"/>
      <c r="D136" s="232"/>
      <c r="E136" s="206"/>
      <c r="F136" s="229"/>
      <c r="G136" s="398"/>
      <c r="H136" s="45"/>
    </row>
    <row r="137" spans="1:9">
      <c r="A137" s="391"/>
      <c r="B137" s="96"/>
      <c r="C137" s="97" t="s">
        <v>43</v>
      </c>
      <c r="D137" s="98" t="s">
        <v>43</v>
      </c>
      <c r="E137" s="299" t="s">
        <v>60</v>
      </c>
      <c r="F137" s="94">
        <f>SUM(F136:F136)</f>
        <v>0</v>
      </c>
      <c r="G137" s="396"/>
    </row>
    <row r="138" spans="1:9" ht="30">
      <c r="A138" s="391"/>
      <c r="B138" s="1389" t="s">
        <v>98</v>
      </c>
      <c r="C138" s="92" t="s">
        <v>51</v>
      </c>
      <c r="D138" s="93" t="s">
        <v>52</v>
      </c>
      <c r="E138" s="105" t="s">
        <v>64</v>
      </c>
      <c r="F138" s="94" t="s">
        <v>54</v>
      </c>
      <c r="G138" s="396"/>
    </row>
    <row r="139" spans="1:9" ht="30" customHeight="1" thickBot="1">
      <c r="A139" s="1453" t="s">
        <v>67</v>
      </c>
      <c r="B139" s="1454" t="s">
        <v>1727</v>
      </c>
      <c r="C139" s="1367" t="s">
        <v>57</v>
      </c>
      <c r="D139" s="1429">
        <v>1</v>
      </c>
      <c r="E139" s="1381">
        <v>1860</v>
      </c>
      <c r="F139" s="1455">
        <f>TRUNC((D139*E139),2)</f>
        <v>1860</v>
      </c>
      <c r="G139" s="1356">
        <f>C148</f>
        <v>1860</v>
      </c>
      <c r="H139" s="1526"/>
      <c r="I139" s="1526"/>
    </row>
    <row r="140" spans="1:9" ht="28.5" customHeight="1">
      <c r="A140" s="1456" t="s">
        <v>163</v>
      </c>
      <c r="B140" s="1457" t="s">
        <v>598</v>
      </c>
      <c r="C140" s="1373" t="s">
        <v>57</v>
      </c>
      <c r="D140" s="1406">
        <v>1</v>
      </c>
      <c r="E140" s="1424">
        <v>236.55</v>
      </c>
      <c r="F140" s="1458">
        <f>TRUNC((D140*E140),2)</f>
        <v>236.55</v>
      </c>
      <c r="G140" s="1356">
        <f>F125</f>
        <v>254.55</v>
      </c>
    </row>
    <row r="141" spans="1:9" ht="19.5" customHeight="1">
      <c r="A141" s="513"/>
      <c r="B141" s="194"/>
      <c r="C141" s="146"/>
      <c r="D141" s="195"/>
      <c r="E141" s="299" t="s">
        <v>60</v>
      </c>
      <c r="F141" s="83">
        <f>SUM(F139:F140)</f>
        <v>2096.5500000000002</v>
      </c>
      <c r="G141" s="396"/>
    </row>
    <row r="142" spans="1:9" ht="15" customHeight="1" thickBot="1">
      <c r="A142" s="1377"/>
      <c r="B142" s="2123" t="s">
        <v>55</v>
      </c>
      <c r="C142" s="2123"/>
      <c r="D142" s="2123"/>
      <c r="E142" s="2123"/>
      <c r="F142" s="1391">
        <f>F137+F141</f>
        <v>2096.5500000000002</v>
      </c>
      <c r="G142" s="396"/>
    </row>
    <row r="143" spans="1:9">
      <c r="A143" s="197"/>
      <c r="B143" s="2095" t="s">
        <v>99</v>
      </c>
      <c r="C143" s="2096"/>
      <c r="D143" s="2096"/>
      <c r="E143" s="2097"/>
      <c r="F143" s="198"/>
      <c r="G143" s="395"/>
    </row>
    <row r="144" spans="1:9" ht="25.5">
      <c r="A144" s="160" t="s">
        <v>61</v>
      </c>
      <c r="B144" s="105" t="s">
        <v>100</v>
      </c>
      <c r="C144" s="298" t="s">
        <v>101</v>
      </c>
      <c r="D144" s="2098" t="s">
        <v>62</v>
      </c>
      <c r="E144" s="2098"/>
      <c r="F144" s="161" t="s">
        <v>102</v>
      </c>
      <c r="G144" s="395"/>
      <c r="H144" s="510"/>
    </row>
    <row r="145" spans="1:8" ht="30">
      <c r="A145" s="227">
        <v>44708</v>
      </c>
      <c r="B145" s="208" t="s">
        <v>1815</v>
      </c>
      <c r="C145" s="206">
        <v>1307.3399999999999</v>
      </c>
      <c r="D145" s="2099" t="s">
        <v>1813</v>
      </c>
      <c r="E145" s="2100"/>
      <c r="F145" s="142" t="s">
        <v>1814</v>
      </c>
      <c r="G145" s="395"/>
      <c r="H145" s="1526" t="s">
        <v>2356</v>
      </c>
    </row>
    <row r="146" spans="1:8" ht="25.5">
      <c r="A146" s="227">
        <v>44708</v>
      </c>
      <c r="B146" s="208" t="s">
        <v>2219</v>
      </c>
      <c r="C146" s="206">
        <v>1860</v>
      </c>
      <c r="D146" s="2099" t="s">
        <v>2220</v>
      </c>
      <c r="E146" s="2100"/>
      <c r="F146" s="142" t="s">
        <v>2221</v>
      </c>
      <c r="G146" s="395"/>
    </row>
    <row r="147" spans="1:8">
      <c r="A147" s="227">
        <v>44701</v>
      </c>
      <c r="B147" s="411" t="s">
        <v>2259</v>
      </c>
      <c r="C147" s="206">
        <v>2000</v>
      </c>
      <c r="D147" s="2099" t="s">
        <v>2260</v>
      </c>
      <c r="E147" s="2100"/>
      <c r="F147" s="142" t="s">
        <v>2261</v>
      </c>
      <c r="G147" s="395"/>
    </row>
    <row r="148" spans="1:8" ht="15.75" thickBot="1">
      <c r="A148" s="143"/>
      <c r="B148" s="316" t="s">
        <v>63</v>
      </c>
      <c r="C148" s="144">
        <f>MEDIAN(C145:C147)</f>
        <v>1860</v>
      </c>
      <c r="D148" s="2103"/>
      <c r="E148" s="2104"/>
      <c r="F148" s="145"/>
      <c r="G148" s="395"/>
    </row>
    <row r="149" spans="1:8" ht="15.75" thickBot="1">
      <c r="A149" s="423"/>
      <c r="B149" s="514"/>
      <c r="C149" s="515"/>
      <c r="D149" s="516"/>
      <c r="E149" s="516"/>
      <c r="F149" s="517"/>
      <c r="G149" s="395"/>
    </row>
    <row r="150" spans="1:8">
      <c r="A150" s="151" t="s">
        <v>602</v>
      </c>
      <c r="B150" s="421" t="s">
        <v>1500</v>
      </c>
      <c r="C150" s="152" t="s">
        <v>48</v>
      </c>
      <c r="D150" s="153"/>
      <c r="E150" s="154"/>
      <c r="F150" s="155"/>
      <c r="G150" s="397"/>
    </row>
    <row r="151" spans="1:8" ht="15.75">
      <c r="A151" s="2105" t="s">
        <v>1822</v>
      </c>
      <c r="B151" s="2106"/>
      <c r="C151" s="2106"/>
      <c r="D151" s="2106"/>
      <c r="E151" s="2106"/>
      <c r="F151" s="2107"/>
      <c r="H151" s="1358" t="s">
        <v>489</v>
      </c>
    </row>
    <row r="152" spans="1:8" ht="30">
      <c r="A152" s="90"/>
      <c r="B152" s="91" t="s">
        <v>58</v>
      </c>
      <c r="C152" s="92" t="s">
        <v>51</v>
      </c>
      <c r="D152" s="93" t="s">
        <v>52</v>
      </c>
      <c r="E152" s="105" t="s">
        <v>64</v>
      </c>
      <c r="F152" s="94" t="s">
        <v>54</v>
      </c>
    </row>
    <row r="153" spans="1:8">
      <c r="A153" s="391">
        <v>88315</v>
      </c>
      <c r="B153" s="208" t="s">
        <v>1422</v>
      </c>
      <c r="C153" s="97" t="s">
        <v>59</v>
      </c>
      <c r="D153" s="231">
        <v>0.97740000000000005</v>
      </c>
      <c r="E153" s="206">
        <v>22.28</v>
      </c>
      <c r="F153" s="1390">
        <f>TRUNC((D153*E153),2)</f>
        <v>21.77</v>
      </c>
    </row>
    <row r="154" spans="1:8">
      <c r="A154" s="391">
        <v>88316</v>
      </c>
      <c r="B154" s="208" t="s">
        <v>68</v>
      </c>
      <c r="C154" s="97" t="s">
        <v>59</v>
      </c>
      <c r="D154" s="231">
        <v>0.97740000000000005</v>
      </c>
      <c r="E154" s="206">
        <v>17.82</v>
      </c>
      <c r="F154" s="1390">
        <f>TRUNC((D154*E154),2)</f>
        <v>17.41</v>
      </c>
    </row>
    <row r="155" spans="1:8">
      <c r="A155" s="391"/>
      <c r="B155" s="96"/>
      <c r="C155" s="97" t="s">
        <v>43</v>
      </c>
      <c r="D155" s="98" t="s">
        <v>43</v>
      </c>
      <c r="E155" s="299" t="s">
        <v>60</v>
      </c>
      <c r="F155" s="1395">
        <f>SUM(F153:F154)</f>
        <v>39.18</v>
      </c>
    </row>
    <row r="156" spans="1:8" ht="30">
      <c r="A156" s="391"/>
      <c r="B156" s="1389" t="s">
        <v>98</v>
      </c>
      <c r="C156" s="92" t="s">
        <v>51</v>
      </c>
      <c r="D156" s="93" t="s">
        <v>52</v>
      </c>
      <c r="E156" s="105" t="s">
        <v>64</v>
      </c>
      <c r="F156" s="94" t="s">
        <v>54</v>
      </c>
    </row>
    <row r="157" spans="1:8" ht="25.5">
      <c r="A157" s="488" t="s">
        <v>67</v>
      </c>
      <c r="B157" s="1798" t="s">
        <v>601</v>
      </c>
      <c r="C157" s="348" t="s">
        <v>48</v>
      </c>
      <c r="D157" s="232">
        <v>1.02</v>
      </c>
      <c r="E157" s="228">
        <v>4550</v>
      </c>
      <c r="F157" s="1390">
        <f>TRUNC((D157*E157),2)</f>
        <v>4641</v>
      </c>
      <c r="G157" s="430"/>
    </row>
    <row r="158" spans="1:8" ht="50.25" customHeight="1">
      <c r="A158" s="1799">
        <v>94962</v>
      </c>
      <c r="B158" s="208" t="s">
        <v>1823</v>
      </c>
      <c r="C158" s="348" t="s">
        <v>49</v>
      </c>
      <c r="D158" s="231">
        <v>4.4999999999999997E-3</v>
      </c>
      <c r="E158" s="228">
        <v>368.5</v>
      </c>
      <c r="F158" s="1390">
        <f>TRUNC((D158*E158),2)</f>
        <v>1.65</v>
      </c>
    </row>
    <row r="159" spans="1:8">
      <c r="A159" s="513"/>
      <c r="B159" s="194"/>
      <c r="C159" s="146"/>
      <c r="D159" s="195"/>
      <c r="E159" s="299" t="s">
        <v>60</v>
      </c>
      <c r="F159" s="94">
        <f>SUM(F157:F157)</f>
        <v>4641</v>
      </c>
    </row>
    <row r="160" spans="1:8" ht="15" customHeight="1" thickBot="1">
      <c r="A160" s="197"/>
      <c r="B160" s="2162" t="s">
        <v>55</v>
      </c>
      <c r="C160" s="2162"/>
      <c r="D160" s="2162"/>
      <c r="E160" s="2162"/>
      <c r="F160" s="198">
        <f>F155+F159</f>
        <v>4680.18</v>
      </c>
    </row>
    <row r="161" spans="1:9" ht="35.25" customHeight="1" thickBot="1">
      <c r="A161" s="1407"/>
      <c r="B161" s="1768" t="s">
        <v>2244</v>
      </c>
      <c r="C161" s="2171" t="s">
        <v>2245</v>
      </c>
      <c r="D161" s="2172"/>
      <c r="E161" s="2172"/>
      <c r="F161" s="1417" t="s">
        <v>2243</v>
      </c>
    </row>
    <row r="162" spans="1:9">
      <c r="A162" s="1415"/>
      <c r="B162" s="2159" t="s">
        <v>99</v>
      </c>
      <c r="C162" s="2160"/>
      <c r="D162" s="2160"/>
      <c r="E162" s="2161"/>
      <c r="F162" s="1416"/>
    </row>
    <row r="163" spans="1:9" ht="25.5">
      <c r="A163" s="160" t="s">
        <v>61</v>
      </c>
      <c r="B163" s="105" t="s">
        <v>100</v>
      </c>
      <c r="C163" s="298" t="s">
        <v>101</v>
      </c>
      <c r="D163" s="2098" t="s">
        <v>62</v>
      </c>
      <c r="E163" s="2098"/>
      <c r="F163" s="161" t="s">
        <v>102</v>
      </c>
    </row>
    <row r="164" spans="1:9" ht="29.25" customHeight="1">
      <c r="A164" s="227">
        <v>44708</v>
      </c>
      <c r="B164" s="208" t="s">
        <v>2224</v>
      </c>
      <c r="C164" s="206">
        <v>4550</v>
      </c>
      <c r="D164" s="2153" t="s">
        <v>2229</v>
      </c>
      <c r="E164" s="2154"/>
      <c r="F164" s="142" t="s">
        <v>2230</v>
      </c>
      <c r="H164" s="1418" t="s">
        <v>2234</v>
      </c>
      <c r="I164" s="326"/>
    </row>
    <row r="165" spans="1:9" ht="25.5">
      <c r="A165" s="227">
        <v>44701</v>
      </c>
      <c r="B165" s="208" t="s">
        <v>2232</v>
      </c>
      <c r="C165" s="206">
        <v>6630</v>
      </c>
      <c r="D165" s="2153" t="s">
        <v>2361</v>
      </c>
      <c r="E165" s="2154"/>
      <c r="F165" s="142" t="s">
        <v>2231</v>
      </c>
      <c r="H165" s="1354"/>
    </row>
    <row r="166" spans="1:9" ht="30.75" thickBot="1">
      <c r="A166" s="1379">
        <v>44708</v>
      </c>
      <c r="B166" s="1800" t="s">
        <v>2240</v>
      </c>
      <c r="C166" s="1381">
        <v>2240</v>
      </c>
      <c r="D166" s="2110" t="s">
        <v>2241</v>
      </c>
      <c r="E166" s="2111"/>
      <c r="F166" s="1801" t="s">
        <v>2242</v>
      </c>
    </row>
    <row r="167" spans="1:9" ht="15.75" thickBot="1">
      <c r="A167" s="1794"/>
      <c r="B167" s="1795" t="s">
        <v>63</v>
      </c>
      <c r="C167" s="1796">
        <f>MEDIAN(C164:C166)</f>
        <v>4550</v>
      </c>
      <c r="D167" s="2155"/>
      <c r="E167" s="2156"/>
      <c r="F167" s="1797"/>
    </row>
    <row r="168" spans="1:9" ht="15.75" thickBot="1">
      <c r="A168" s="518"/>
      <c r="B168" s="519"/>
      <c r="C168" s="520"/>
      <c r="D168" s="521"/>
      <c r="E168" s="522"/>
      <c r="F168" s="521"/>
    </row>
    <row r="169" spans="1:9" ht="25.5">
      <c r="A169" s="151" t="s">
        <v>108</v>
      </c>
      <c r="B169" s="421" t="s">
        <v>2226</v>
      </c>
      <c r="C169" s="152" t="s">
        <v>57</v>
      </c>
      <c r="D169" s="153"/>
      <c r="E169" s="154"/>
      <c r="F169" s="155"/>
    </row>
    <row r="170" spans="1:9" ht="15" customHeight="1">
      <c r="A170" s="2105" t="s">
        <v>600</v>
      </c>
      <c r="B170" s="2106"/>
      <c r="C170" s="2106"/>
      <c r="D170" s="2106"/>
      <c r="E170" s="2106"/>
      <c r="F170" s="2107"/>
      <c r="H170" s="1358" t="s">
        <v>489</v>
      </c>
    </row>
    <row r="171" spans="1:9" ht="30">
      <c r="A171" s="90"/>
      <c r="B171" s="91" t="s">
        <v>58</v>
      </c>
      <c r="C171" s="92" t="s">
        <v>51</v>
      </c>
      <c r="D171" s="93" t="s">
        <v>52</v>
      </c>
      <c r="E171" s="105" t="s">
        <v>64</v>
      </c>
      <c r="F171" s="94" t="s">
        <v>54</v>
      </c>
    </row>
    <row r="172" spans="1:9">
      <c r="A172" s="391"/>
      <c r="B172" s="184"/>
      <c r="C172" s="97"/>
      <c r="D172" s="232"/>
      <c r="E172" s="206"/>
      <c r="F172" s="229"/>
    </row>
    <row r="173" spans="1:9">
      <c r="A173" s="391"/>
      <c r="B173" s="96"/>
      <c r="C173" s="97" t="s">
        <v>43</v>
      </c>
      <c r="D173" s="98" t="s">
        <v>43</v>
      </c>
      <c r="E173" s="299" t="s">
        <v>60</v>
      </c>
      <c r="F173" s="141">
        <f>SUM(F172:F172)</f>
        <v>0</v>
      </c>
    </row>
    <row r="174" spans="1:9" ht="30">
      <c r="A174" s="391"/>
      <c r="B174" s="99" t="s">
        <v>98</v>
      </c>
      <c r="C174" s="92" t="s">
        <v>51</v>
      </c>
      <c r="D174" s="93" t="s">
        <v>52</v>
      </c>
      <c r="E174" s="105" t="s">
        <v>64</v>
      </c>
      <c r="F174" s="94" t="s">
        <v>54</v>
      </c>
    </row>
    <row r="175" spans="1:9" ht="31.5" customHeight="1">
      <c r="A175" s="332" t="s">
        <v>67</v>
      </c>
      <c r="B175" s="512" t="s">
        <v>2227</v>
      </c>
      <c r="C175" s="97" t="s">
        <v>57</v>
      </c>
      <c r="D175" s="232">
        <v>1</v>
      </c>
      <c r="E175" s="228">
        <v>2995</v>
      </c>
      <c r="F175" s="188">
        <f>TRUNC((D175*E175),2)</f>
        <v>2995</v>
      </c>
    </row>
    <row r="176" spans="1:9">
      <c r="A176" s="513"/>
      <c r="B176" s="194"/>
      <c r="C176" s="146"/>
      <c r="D176" s="195"/>
      <c r="E176" s="299" t="s">
        <v>60</v>
      </c>
      <c r="F176" s="94">
        <f>SUM(F175:F175)</f>
        <v>2995</v>
      </c>
    </row>
    <row r="177" spans="1:8" ht="15.75" thickBot="1">
      <c r="A177" s="102"/>
      <c r="B177" s="2157" t="s">
        <v>55</v>
      </c>
      <c r="C177" s="2157"/>
      <c r="D177" s="2157"/>
      <c r="E177" s="2157"/>
      <c r="F177" s="103">
        <f>F173+F176</f>
        <v>2995</v>
      </c>
    </row>
    <row r="178" spans="1:8">
      <c r="A178" s="473"/>
      <c r="B178" s="2120" t="s">
        <v>99</v>
      </c>
      <c r="C178" s="2121"/>
      <c r="D178" s="2121"/>
      <c r="E178" s="2122"/>
      <c r="F178" s="474"/>
    </row>
    <row r="179" spans="1:8" ht="25.5">
      <c r="A179" s="160" t="s">
        <v>61</v>
      </c>
      <c r="B179" s="105" t="s">
        <v>100</v>
      </c>
      <c r="C179" s="298" t="s">
        <v>101</v>
      </c>
      <c r="D179" s="2098" t="s">
        <v>62</v>
      </c>
      <c r="E179" s="2098"/>
      <c r="F179" s="161" t="s">
        <v>102</v>
      </c>
    </row>
    <row r="180" spans="1:8" ht="25.5">
      <c r="A180" s="227">
        <v>44708</v>
      </c>
      <c r="B180" s="208" t="s">
        <v>2224</v>
      </c>
      <c r="C180" s="206">
        <v>2590</v>
      </c>
      <c r="D180" s="2099" t="s">
        <v>2229</v>
      </c>
      <c r="E180" s="2100"/>
      <c r="F180" s="142" t="s">
        <v>2230</v>
      </c>
    </row>
    <row r="181" spans="1:8" ht="25.5">
      <c r="A181" s="1439">
        <v>44701</v>
      </c>
      <c r="B181" s="1440" t="s">
        <v>2232</v>
      </c>
      <c r="C181" s="1441">
        <v>4800</v>
      </c>
      <c r="D181" s="2099" t="s">
        <v>2361</v>
      </c>
      <c r="E181" s="2100"/>
      <c r="F181" s="1442" t="s">
        <v>2231</v>
      </c>
      <c r="H181" s="468"/>
    </row>
    <row r="182" spans="1:8" ht="30">
      <c r="A182" s="227">
        <v>44708</v>
      </c>
      <c r="B182" s="411" t="s">
        <v>2240</v>
      </c>
      <c r="C182" s="206">
        <v>2995</v>
      </c>
      <c r="D182" s="2158" t="s">
        <v>2241</v>
      </c>
      <c r="E182" s="2158"/>
      <c r="F182" s="1360" t="s">
        <v>2242</v>
      </c>
    </row>
    <row r="183" spans="1:8" ht="15.75" thickBot="1">
      <c r="A183" s="143"/>
      <c r="B183" s="316" t="s">
        <v>63</v>
      </c>
      <c r="C183" s="144">
        <f>MEDIAN(C180:C182)</f>
        <v>2995</v>
      </c>
      <c r="D183" s="2103"/>
      <c r="E183" s="2104"/>
      <c r="F183" s="145"/>
    </row>
    <row r="184" spans="1:8" ht="15.75" thickBot="1">
      <c r="A184" s="518"/>
      <c r="B184" s="519"/>
      <c r="C184" s="520"/>
      <c r="D184" s="521"/>
      <c r="E184" s="522"/>
      <c r="F184" s="521"/>
    </row>
    <row r="185" spans="1:8" ht="27.75" customHeight="1" thickBot="1">
      <c r="A185" s="1410" t="s">
        <v>109</v>
      </c>
      <c r="B185" s="1411" t="s">
        <v>1502</v>
      </c>
      <c r="C185" s="191" t="s">
        <v>57</v>
      </c>
      <c r="D185" s="1412"/>
      <c r="E185" s="1413"/>
      <c r="F185" s="1414"/>
    </row>
    <row r="186" spans="1:8">
      <c r="A186" s="2173" t="s">
        <v>600</v>
      </c>
      <c r="B186" s="2174"/>
      <c r="C186" s="2174"/>
      <c r="D186" s="2174"/>
      <c r="E186" s="2174"/>
      <c r="F186" s="2175"/>
    </row>
    <row r="187" spans="1:8" ht="30">
      <c r="A187" s="1408"/>
      <c r="B187" s="1394" t="s">
        <v>58</v>
      </c>
      <c r="C187" s="262" t="s">
        <v>51</v>
      </c>
      <c r="D187" s="263" t="s">
        <v>52</v>
      </c>
      <c r="E187" s="264" t="s">
        <v>64</v>
      </c>
      <c r="F187" s="1409" t="s">
        <v>54</v>
      </c>
    </row>
    <row r="188" spans="1:8" ht="15.75" thickBot="1">
      <c r="A188" s="1459"/>
      <c r="B188" s="1460"/>
      <c r="C188" s="1461"/>
      <c r="D188" s="1462"/>
      <c r="E188" s="1463"/>
      <c r="F188" s="1464"/>
    </row>
    <row r="189" spans="1:8">
      <c r="A189" s="1371"/>
      <c r="B189" s="1465"/>
      <c r="C189" s="1373" t="s">
        <v>43</v>
      </c>
      <c r="D189" s="1387" t="s">
        <v>43</v>
      </c>
      <c r="E189" s="1388" t="s">
        <v>60</v>
      </c>
      <c r="F189" s="1466">
        <f>SUM(F188:F188)</f>
        <v>0</v>
      </c>
    </row>
    <row r="190" spans="1:8" ht="30">
      <c r="A190" s="391"/>
      <c r="B190" s="1389" t="s">
        <v>98</v>
      </c>
      <c r="C190" s="92" t="s">
        <v>51</v>
      </c>
      <c r="D190" s="93" t="s">
        <v>52</v>
      </c>
      <c r="E190" s="105" t="s">
        <v>64</v>
      </c>
      <c r="F190" s="94" t="s">
        <v>54</v>
      </c>
    </row>
    <row r="191" spans="1:8" ht="25.5" customHeight="1">
      <c r="A191" s="488" t="s">
        <v>67</v>
      </c>
      <c r="B191" s="1355" t="s">
        <v>2225</v>
      </c>
      <c r="C191" s="97" t="s">
        <v>57</v>
      </c>
      <c r="D191" s="232">
        <v>1</v>
      </c>
      <c r="E191" s="228">
        <v>7000</v>
      </c>
      <c r="F191" s="1390">
        <f>TRUNC((D191*E191),2)</f>
        <v>7000</v>
      </c>
    </row>
    <row r="192" spans="1:8" ht="42.75" customHeight="1">
      <c r="A192" s="488" t="s">
        <v>110</v>
      </c>
      <c r="B192" s="512" t="s">
        <v>1521</v>
      </c>
      <c r="C192" s="97" t="s">
        <v>57</v>
      </c>
      <c r="D192" s="232">
        <v>1</v>
      </c>
      <c r="E192" s="228">
        <v>890</v>
      </c>
      <c r="F192" s="1390">
        <f>TRUNC((D192*E192),2)</f>
        <v>890</v>
      </c>
    </row>
    <row r="193" spans="1:8">
      <c r="A193" s="513"/>
      <c r="B193" s="194"/>
      <c r="C193" s="146"/>
      <c r="D193" s="195"/>
      <c r="E193" s="299" t="s">
        <v>60</v>
      </c>
      <c r="F193" s="94">
        <f>SUM(F191:F192)</f>
        <v>7890</v>
      </c>
    </row>
    <row r="194" spans="1:8" ht="15.75" thickBot="1">
      <c r="A194" s="1377"/>
      <c r="B194" s="2123" t="s">
        <v>55</v>
      </c>
      <c r="C194" s="2123"/>
      <c r="D194" s="2123"/>
      <c r="E194" s="2123"/>
      <c r="F194" s="1391">
        <f>F189+F193</f>
        <v>7890</v>
      </c>
    </row>
    <row r="195" spans="1:8">
      <c r="A195" s="197"/>
      <c r="B195" s="2095" t="s">
        <v>99</v>
      </c>
      <c r="C195" s="2096"/>
      <c r="D195" s="2096"/>
      <c r="E195" s="2097"/>
      <c r="F195" s="198"/>
    </row>
    <row r="196" spans="1:8" ht="25.5">
      <c r="A196" s="160" t="s">
        <v>61</v>
      </c>
      <c r="B196" s="105" t="s">
        <v>100</v>
      </c>
      <c r="C196" s="298" t="s">
        <v>101</v>
      </c>
      <c r="D196" s="2098" t="s">
        <v>62</v>
      </c>
      <c r="E196" s="2098"/>
      <c r="F196" s="161" t="s">
        <v>102</v>
      </c>
    </row>
    <row r="197" spans="1:8" ht="25.5">
      <c r="A197" s="227">
        <v>44708</v>
      </c>
      <c r="B197" s="208" t="s">
        <v>2224</v>
      </c>
      <c r="C197" s="206">
        <v>7000</v>
      </c>
      <c r="D197" s="2099" t="s">
        <v>2229</v>
      </c>
      <c r="E197" s="2100"/>
      <c r="F197" s="142" t="s">
        <v>2230</v>
      </c>
    </row>
    <row r="198" spans="1:8" ht="25.5">
      <c r="A198" s="227">
        <v>44701</v>
      </c>
      <c r="B198" s="208" t="s">
        <v>2232</v>
      </c>
      <c r="C198" s="206">
        <v>12450</v>
      </c>
      <c r="D198" s="2099" t="s">
        <v>2361</v>
      </c>
      <c r="E198" s="2100"/>
      <c r="F198" s="142" t="s">
        <v>2231</v>
      </c>
      <c r="H198" s="468"/>
    </row>
    <row r="199" spans="1:8" ht="30">
      <c r="A199" s="227">
        <v>44708</v>
      </c>
      <c r="B199" s="411" t="s">
        <v>2240</v>
      </c>
      <c r="C199" s="206">
        <v>6560</v>
      </c>
      <c r="D199" s="2099" t="s">
        <v>2241</v>
      </c>
      <c r="E199" s="2100"/>
      <c r="F199" s="1360" t="s">
        <v>2242</v>
      </c>
    </row>
    <row r="200" spans="1:8" ht="15.75" thickBot="1">
      <c r="A200" s="143"/>
      <c r="B200" s="316" t="s">
        <v>63</v>
      </c>
      <c r="C200" s="144">
        <f>MEDIAN(C197:C199)</f>
        <v>7000</v>
      </c>
      <c r="D200" s="2103"/>
      <c r="E200" s="2104"/>
      <c r="F200" s="145"/>
    </row>
    <row r="201" spans="1:8" ht="15.75" thickBot="1">
      <c r="A201" s="518"/>
      <c r="B201" s="519"/>
      <c r="C201" s="520"/>
      <c r="D201" s="521"/>
      <c r="E201" s="522"/>
      <c r="F201" s="521"/>
    </row>
    <row r="202" spans="1:8" ht="25.5">
      <c r="A202" s="151" t="s">
        <v>110</v>
      </c>
      <c r="B202" s="421" t="s">
        <v>1525</v>
      </c>
      <c r="C202" s="152" t="s">
        <v>57</v>
      </c>
      <c r="D202" s="153"/>
      <c r="E202" s="154"/>
      <c r="F202" s="155"/>
    </row>
    <row r="203" spans="1:8">
      <c r="A203" s="2105" t="s">
        <v>600</v>
      </c>
      <c r="B203" s="2106"/>
      <c r="C203" s="2106"/>
      <c r="D203" s="2106"/>
      <c r="E203" s="2106"/>
      <c r="F203" s="2107"/>
    </row>
    <row r="204" spans="1:8" ht="30">
      <c r="A204" s="90"/>
      <c r="B204" s="91" t="s">
        <v>58</v>
      </c>
      <c r="C204" s="92" t="s">
        <v>51</v>
      </c>
      <c r="D204" s="93" t="s">
        <v>52</v>
      </c>
      <c r="E204" s="105" t="s">
        <v>64</v>
      </c>
      <c r="F204" s="94" t="s">
        <v>54</v>
      </c>
    </row>
    <row r="205" spans="1:8">
      <c r="A205" s="391"/>
      <c r="B205" s="1320"/>
      <c r="C205" s="97"/>
      <c r="D205" s="232"/>
      <c r="E205" s="206"/>
      <c r="F205" s="229"/>
    </row>
    <row r="206" spans="1:8">
      <c r="A206" s="391"/>
      <c r="B206" s="96"/>
      <c r="C206" s="97" t="s">
        <v>43</v>
      </c>
      <c r="D206" s="98" t="s">
        <v>43</v>
      </c>
      <c r="E206" s="299" t="s">
        <v>60</v>
      </c>
      <c r="F206" s="1395">
        <f>SUM(F205:F205)</f>
        <v>0</v>
      </c>
    </row>
    <row r="207" spans="1:8" ht="30">
      <c r="A207" s="391"/>
      <c r="B207" s="1389" t="s">
        <v>98</v>
      </c>
      <c r="C207" s="92" t="s">
        <v>51</v>
      </c>
      <c r="D207" s="93" t="s">
        <v>52</v>
      </c>
      <c r="E207" s="105" t="s">
        <v>64</v>
      </c>
      <c r="F207" s="94" t="s">
        <v>54</v>
      </c>
    </row>
    <row r="208" spans="1:8" ht="39" customHeight="1">
      <c r="A208" s="488" t="s">
        <v>67</v>
      </c>
      <c r="B208" s="512" t="s">
        <v>1522</v>
      </c>
      <c r="C208" s="97" t="s">
        <v>57</v>
      </c>
      <c r="D208" s="232">
        <v>1</v>
      </c>
      <c r="E208" s="228">
        <v>700</v>
      </c>
      <c r="F208" s="1390">
        <f>TRUNC((D208*E208),2)</f>
        <v>700</v>
      </c>
      <c r="G208" s="1451">
        <f>C216</f>
        <v>700</v>
      </c>
      <c r="H208" s="809"/>
    </row>
    <row r="209" spans="1:8">
      <c r="A209" s="513"/>
      <c r="B209" s="194"/>
      <c r="C209" s="146"/>
      <c r="D209" s="195"/>
      <c r="E209" s="299" t="s">
        <v>60</v>
      </c>
      <c r="F209" s="94">
        <f>SUM(F208:F208)</f>
        <v>700</v>
      </c>
    </row>
    <row r="210" spans="1:8" ht="15.75" thickBot="1">
      <c r="A210" s="1377"/>
      <c r="B210" s="2123" t="s">
        <v>55</v>
      </c>
      <c r="C210" s="2123"/>
      <c r="D210" s="2123"/>
      <c r="E210" s="2123"/>
      <c r="F210" s="1391">
        <f>F206+F209</f>
        <v>700</v>
      </c>
    </row>
    <row r="211" spans="1:8">
      <c r="A211" s="197"/>
      <c r="B211" s="2095" t="s">
        <v>99</v>
      </c>
      <c r="C211" s="2096"/>
      <c r="D211" s="2096"/>
      <c r="E211" s="2097"/>
      <c r="F211" s="198"/>
    </row>
    <row r="212" spans="1:8" ht="25.5">
      <c r="A212" s="160" t="s">
        <v>61</v>
      </c>
      <c r="B212" s="105" t="s">
        <v>100</v>
      </c>
      <c r="C212" s="298" t="s">
        <v>101</v>
      </c>
      <c r="D212" s="2098" t="s">
        <v>62</v>
      </c>
      <c r="E212" s="2098"/>
      <c r="F212" s="161" t="s">
        <v>102</v>
      </c>
    </row>
    <row r="213" spans="1:8" ht="25.5">
      <c r="A213" s="227">
        <v>44707</v>
      </c>
      <c r="B213" s="208" t="s">
        <v>1722</v>
      </c>
      <c r="C213" s="206">
        <v>650</v>
      </c>
      <c r="D213" s="2099" t="s">
        <v>1721</v>
      </c>
      <c r="E213" s="2100"/>
      <c r="F213" s="142" t="s">
        <v>1726</v>
      </c>
    </row>
    <row r="214" spans="1:8" ht="25.5">
      <c r="A214" s="227">
        <v>44707</v>
      </c>
      <c r="B214" s="208" t="s">
        <v>1723</v>
      </c>
      <c r="C214" s="206">
        <v>700</v>
      </c>
      <c r="D214" s="2099" t="s">
        <v>1724</v>
      </c>
      <c r="E214" s="2100"/>
      <c r="F214" s="142" t="s">
        <v>1725</v>
      </c>
    </row>
    <row r="215" spans="1:8" ht="25.5">
      <c r="A215" s="227">
        <v>44708</v>
      </c>
      <c r="B215" s="411" t="s">
        <v>2257</v>
      </c>
      <c r="C215" s="206">
        <v>1150</v>
      </c>
      <c r="D215" s="2099" t="s">
        <v>2258</v>
      </c>
      <c r="E215" s="2100"/>
      <c r="F215" s="142" t="s">
        <v>2363</v>
      </c>
      <c r="H215" s="1450"/>
    </row>
    <row r="216" spans="1:8" ht="15.75" thickBot="1">
      <c r="A216" s="143"/>
      <c r="B216" s="316" t="s">
        <v>63</v>
      </c>
      <c r="C216" s="144">
        <f>MEDIAN(C213:C215)</f>
        <v>700</v>
      </c>
      <c r="D216" s="2103"/>
      <c r="E216" s="2104"/>
      <c r="F216" s="145"/>
    </row>
    <row r="217" spans="1:8" ht="15.75" thickBot="1">
      <c r="A217" s="518"/>
      <c r="B217" s="519"/>
      <c r="C217" s="520"/>
      <c r="D217" s="521"/>
      <c r="E217" s="522"/>
      <c r="F217" s="521"/>
    </row>
    <row r="218" spans="1:8" ht="25.5">
      <c r="A218" s="151" t="s">
        <v>111</v>
      </c>
      <c r="B218" s="422" t="s">
        <v>1526</v>
      </c>
      <c r="C218" s="152" t="s">
        <v>57</v>
      </c>
      <c r="D218" s="153"/>
      <c r="E218" s="154"/>
      <c r="F218" s="155"/>
      <c r="H218" s="740" t="s">
        <v>381</v>
      </c>
    </row>
    <row r="219" spans="1:8" ht="15.75">
      <c r="A219" s="2105" t="s">
        <v>600</v>
      </c>
      <c r="B219" s="2106"/>
      <c r="C219" s="2106"/>
      <c r="D219" s="2106"/>
      <c r="E219" s="2106"/>
      <c r="F219" s="2107"/>
      <c r="H219" s="1358" t="s">
        <v>489</v>
      </c>
    </row>
    <row r="220" spans="1:8" ht="30">
      <c r="A220" s="90"/>
      <c r="B220" s="91" t="s">
        <v>58</v>
      </c>
      <c r="C220" s="92" t="s">
        <v>51</v>
      </c>
      <c r="D220" s="93" t="s">
        <v>52</v>
      </c>
      <c r="E220" s="105" t="s">
        <v>64</v>
      </c>
      <c r="F220" s="94" t="s">
        <v>54</v>
      </c>
    </row>
    <row r="221" spans="1:8">
      <c r="A221" s="391"/>
      <c r="B221" s="184"/>
      <c r="C221" s="97"/>
      <c r="D221" s="232"/>
      <c r="E221" s="206"/>
      <c r="F221" s="229"/>
    </row>
    <row r="222" spans="1:8">
      <c r="A222" s="391"/>
      <c r="B222" s="96"/>
      <c r="C222" s="97" t="s">
        <v>43</v>
      </c>
      <c r="D222" s="98" t="s">
        <v>43</v>
      </c>
      <c r="E222" s="299" t="s">
        <v>60</v>
      </c>
      <c r="F222" s="141">
        <f>SUM(F221:F221)</f>
        <v>0</v>
      </c>
    </row>
    <row r="223" spans="1:8" ht="30">
      <c r="A223" s="391"/>
      <c r="B223" s="99" t="s">
        <v>98</v>
      </c>
      <c r="C223" s="92" t="s">
        <v>51</v>
      </c>
      <c r="D223" s="93" t="s">
        <v>52</v>
      </c>
      <c r="E223" s="105" t="s">
        <v>64</v>
      </c>
      <c r="F223" s="94" t="s">
        <v>54</v>
      </c>
    </row>
    <row r="224" spans="1:8" ht="24.75" customHeight="1">
      <c r="A224" s="332" t="s">
        <v>67</v>
      </c>
      <c r="B224" s="512" t="s">
        <v>1526</v>
      </c>
      <c r="C224" s="97" t="s">
        <v>57</v>
      </c>
      <c r="D224" s="232">
        <v>1</v>
      </c>
      <c r="E224" s="228">
        <v>3200</v>
      </c>
      <c r="F224" s="188">
        <f>TRUNC((D224*E224),2)</f>
        <v>3200</v>
      </c>
    </row>
    <row r="225" spans="1:8">
      <c r="A225" s="513"/>
      <c r="B225" s="194"/>
      <c r="C225" s="146"/>
      <c r="D225" s="195"/>
      <c r="E225" s="299" t="s">
        <v>60</v>
      </c>
      <c r="F225" s="94">
        <f>SUM(F224:F224)</f>
        <v>3200</v>
      </c>
    </row>
    <row r="226" spans="1:8" ht="15.75" thickBot="1">
      <c r="A226" s="102"/>
      <c r="B226" s="2157" t="s">
        <v>55</v>
      </c>
      <c r="C226" s="2157"/>
      <c r="D226" s="2157"/>
      <c r="E226" s="2157"/>
      <c r="F226" s="103">
        <f>F222+F225</f>
        <v>3200</v>
      </c>
    </row>
    <row r="227" spans="1:8">
      <c r="A227" s="473"/>
      <c r="B227" s="2120" t="s">
        <v>99</v>
      </c>
      <c r="C227" s="2121"/>
      <c r="D227" s="2121"/>
      <c r="E227" s="2122"/>
      <c r="F227" s="474"/>
    </row>
    <row r="228" spans="1:8" ht="25.5">
      <c r="A228" s="160" t="s">
        <v>61</v>
      </c>
      <c r="B228" s="105" t="s">
        <v>100</v>
      </c>
      <c r="C228" s="298" t="s">
        <v>101</v>
      </c>
      <c r="D228" s="2098" t="s">
        <v>62</v>
      </c>
      <c r="E228" s="2098"/>
      <c r="F228" s="161" t="s">
        <v>102</v>
      </c>
    </row>
    <row r="229" spans="1:8" ht="25.5">
      <c r="A229" s="227">
        <v>44708</v>
      </c>
      <c r="B229" s="208" t="s">
        <v>2224</v>
      </c>
      <c r="C229" s="206">
        <v>1600</v>
      </c>
      <c r="D229" s="2099" t="s">
        <v>2229</v>
      </c>
      <c r="E229" s="2100"/>
      <c r="F229" s="142" t="s">
        <v>2230</v>
      </c>
    </row>
    <row r="230" spans="1:8" ht="25.5">
      <c r="A230" s="1439">
        <v>44701</v>
      </c>
      <c r="B230" s="1440" t="s">
        <v>2232</v>
      </c>
      <c r="C230" s="1441">
        <v>4368</v>
      </c>
      <c r="D230" s="2114" t="s">
        <v>2362</v>
      </c>
      <c r="E230" s="2115"/>
      <c r="F230" s="1442" t="s">
        <v>2231</v>
      </c>
      <c r="H230" s="468"/>
    </row>
    <row r="231" spans="1:8" ht="30">
      <c r="A231" s="227">
        <v>44708</v>
      </c>
      <c r="B231" s="411" t="s">
        <v>2240</v>
      </c>
      <c r="C231" s="206">
        <v>3200</v>
      </c>
      <c r="D231" s="2158" t="s">
        <v>2241</v>
      </c>
      <c r="E231" s="2158"/>
      <c r="F231" s="1360" t="s">
        <v>2242</v>
      </c>
    </row>
    <row r="232" spans="1:8" ht="15.75" thickBot="1">
      <c r="A232" s="143"/>
      <c r="B232" s="316" t="s">
        <v>63</v>
      </c>
      <c r="C232" s="144">
        <f>MEDIAN(C229:C231)</f>
        <v>3200</v>
      </c>
      <c r="D232" s="2103"/>
      <c r="E232" s="2104"/>
      <c r="F232" s="145"/>
    </row>
    <row r="233" spans="1:8" ht="15.75" thickBot="1">
      <c r="A233" s="748"/>
      <c r="B233" s="742"/>
      <c r="C233" s="747"/>
      <c r="D233" s="205"/>
      <c r="E233" s="205"/>
      <c r="F233" s="303"/>
    </row>
    <row r="234" spans="1:8" ht="25.5">
      <c r="A234" s="151" t="s">
        <v>112</v>
      </c>
      <c r="B234" s="422" t="s">
        <v>1534</v>
      </c>
      <c r="C234" s="152" t="s">
        <v>48</v>
      </c>
      <c r="D234" s="153"/>
      <c r="E234" s="154"/>
      <c r="F234" s="246"/>
    </row>
    <row r="235" spans="1:8" ht="15.75">
      <c r="A235" s="2105" t="s">
        <v>1535</v>
      </c>
      <c r="B235" s="2106"/>
      <c r="C235" s="2106"/>
      <c r="D235" s="2106"/>
      <c r="E235" s="2106"/>
      <c r="F235" s="2107"/>
      <c r="H235" s="1358" t="s">
        <v>489</v>
      </c>
    </row>
    <row r="236" spans="1:8" ht="30">
      <c r="A236" s="1308"/>
      <c r="B236" s="1319" t="s">
        <v>58</v>
      </c>
      <c r="C236" s="1399" t="s">
        <v>51</v>
      </c>
      <c r="D236" s="1400" t="s">
        <v>52</v>
      </c>
      <c r="E236" s="1436" t="s">
        <v>64</v>
      </c>
      <c r="F236" s="1309" t="s">
        <v>54</v>
      </c>
    </row>
    <row r="237" spans="1:8">
      <c r="A237" s="138">
        <v>88316</v>
      </c>
      <c r="B237" s="101" t="s">
        <v>68</v>
      </c>
      <c r="C237" s="97" t="s">
        <v>59</v>
      </c>
      <c r="D237" s="228">
        <v>0.75</v>
      </c>
      <c r="E237" s="228">
        <v>17.82</v>
      </c>
      <c r="F237" s="229">
        <f>TRUNC((D237*E237),2)</f>
        <v>13.36</v>
      </c>
    </row>
    <row r="238" spans="1:8" ht="15.75" thickBot="1">
      <c r="A238" s="1428"/>
      <c r="B238" s="1467"/>
      <c r="C238" s="1468" t="s">
        <v>43</v>
      </c>
      <c r="D238" s="1469" t="s">
        <v>43</v>
      </c>
      <c r="E238" s="1433" t="s">
        <v>60</v>
      </c>
      <c r="F238" s="202">
        <f>SUM(F237:F237)</f>
        <v>13.36</v>
      </c>
    </row>
    <row r="239" spans="1:8" ht="30">
      <c r="A239" s="1430"/>
      <c r="B239" s="1401" t="s">
        <v>98</v>
      </c>
      <c r="C239" s="1470" t="s">
        <v>51</v>
      </c>
      <c r="D239" s="1471" t="s">
        <v>52</v>
      </c>
      <c r="E239" s="1472" t="s">
        <v>64</v>
      </c>
      <c r="F239" s="1402" t="s">
        <v>54</v>
      </c>
    </row>
    <row r="240" spans="1:8">
      <c r="A240" s="1315"/>
      <c r="B240" s="194"/>
      <c r="C240" s="97"/>
      <c r="D240" s="221"/>
      <c r="E240" s="221"/>
      <c r="F240" s="1390">
        <f>TRUNC((D240*E240),2)</f>
        <v>0</v>
      </c>
    </row>
    <row r="241" spans="1:8" ht="15.75" thickBot="1">
      <c r="A241" s="210"/>
      <c r="B241" s="200"/>
      <c r="C241" s="201"/>
      <c r="D241" s="233"/>
      <c r="E241" s="234" t="s">
        <v>60</v>
      </c>
      <c r="F241" s="202">
        <f>SUM(F240:F240)</f>
        <v>0</v>
      </c>
    </row>
    <row r="242" spans="1:8" ht="15.75" thickBot="1">
      <c r="A242" s="192"/>
      <c r="B242" s="2094" t="s">
        <v>55</v>
      </c>
      <c r="C242" s="2094"/>
      <c r="D242" s="2094"/>
      <c r="E242" s="2094"/>
      <c r="F242" s="193">
        <f>F238+F241</f>
        <v>13.36</v>
      </c>
    </row>
    <row r="243" spans="1:8" ht="15.75" thickBot="1">
      <c r="A243" s="748"/>
      <c r="B243" s="746"/>
      <c r="C243" s="747"/>
      <c r="D243" s="205"/>
      <c r="E243" s="205"/>
      <c r="F243" s="303"/>
    </row>
    <row r="244" spans="1:8" ht="39.75" customHeight="1">
      <c r="A244" s="151" t="s">
        <v>113</v>
      </c>
      <c r="B244" s="422" t="s">
        <v>1540</v>
      </c>
      <c r="C244" s="152" t="s">
        <v>56</v>
      </c>
      <c r="D244" s="153"/>
      <c r="E244" s="154"/>
      <c r="F244" s="246"/>
    </row>
    <row r="245" spans="1:8" ht="15.75">
      <c r="A245" s="2105" t="s">
        <v>1539</v>
      </c>
      <c r="B245" s="2106"/>
      <c r="C245" s="2106"/>
      <c r="D245" s="2106"/>
      <c r="E245" s="2106"/>
      <c r="F245" s="2107"/>
      <c r="H245" s="1358" t="s">
        <v>489</v>
      </c>
    </row>
    <row r="246" spans="1:8" ht="30">
      <c r="A246" s="1308"/>
      <c r="B246" s="1319" t="s">
        <v>58</v>
      </c>
      <c r="C246" s="92" t="s">
        <v>51</v>
      </c>
      <c r="D246" s="93" t="s">
        <v>52</v>
      </c>
      <c r="E246" s="105" t="s">
        <v>64</v>
      </c>
      <c r="F246" s="1309" t="s">
        <v>54</v>
      </c>
    </row>
    <row r="247" spans="1:8">
      <c r="A247" s="1310">
        <v>88316</v>
      </c>
      <c r="B247" s="1320" t="s">
        <v>68</v>
      </c>
      <c r="C247" s="97" t="s">
        <v>59</v>
      </c>
      <c r="D247" s="232">
        <v>3.1E-2</v>
      </c>
      <c r="E247" s="228">
        <v>17.82</v>
      </c>
      <c r="F247" s="1311">
        <f>TRUNC((D247*E247),2)</f>
        <v>0.55000000000000004</v>
      </c>
      <c r="G247" s="62"/>
      <c r="H247" s="62"/>
    </row>
    <row r="248" spans="1:8" ht="25.5">
      <c r="A248" s="1310">
        <v>88256</v>
      </c>
      <c r="B248" s="208" t="s">
        <v>1541</v>
      </c>
      <c r="C248" s="97" t="s">
        <v>59</v>
      </c>
      <c r="D248" s="232">
        <v>8.5000000000000006E-2</v>
      </c>
      <c r="E248" s="228">
        <v>22.32</v>
      </c>
      <c r="F248" s="1311">
        <f>TRUNC((D248*E248),2)</f>
        <v>1.89</v>
      </c>
      <c r="G248" s="62"/>
      <c r="H248" s="62"/>
    </row>
    <row r="249" spans="1:8">
      <c r="A249" s="1364"/>
      <c r="B249" s="1313"/>
      <c r="C249" s="32" t="s">
        <v>43</v>
      </c>
      <c r="D249" s="98" t="s">
        <v>43</v>
      </c>
      <c r="E249" s="299" t="s">
        <v>60</v>
      </c>
      <c r="F249" s="1309">
        <f>SUM(F247:F248)</f>
        <v>2.44</v>
      </c>
      <c r="G249" s="62"/>
      <c r="H249" s="62"/>
    </row>
    <row r="250" spans="1:8" ht="15" customHeight="1">
      <c r="A250" s="1364"/>
      <c r="B250" s="1319" t="s">
        <v>98</v>
      </c>
      <c r="C250" s="92" t="s">
        <v>51</v>
      </c>
      <c r="D250" s="93" t="s">
        <v>52</v>
      </c>
      <c r="E250" s="105" t="s">
        <v>64</v>
      </c>
      <c r="F250" s="1309" t="s">
        <v>54</v>
      </c>
      <c r="G250" s="62"/>
      <c r="H250" s="62"/>
    </row>
    <row r="251" spans="1:8" ht="15" customHeight="1">
      <c r="A251" s="1364">
        <v>1381</v>
      </c>
      <c r="B251" s="755" t="s">
        <v>1543</v>
      </c>
      <c r="C251" s="472" t="s">
        <v>104</v>
      </c>
      <c r="D251" s="524">
        <v>0.60299999999999998</v>
      </c>
      <c r="E251" s="754">
        <v>0.93</v>
      </c>
      <c r="F251" s="1311">
        <f>TRUNC((D251*E251),2)</f>
        <v>0.56000000000000005</v>
      </c>
      <c r="G251" s="62"/>
      <c r="H251" s="62"/>
    </row>
    <row r="252" spans="1:8" ht="15" customHeight="1">
      <c r="A252" s="1364">
        <v>34357</v>
      </c>
      <c r="B252" s="755" t="s">
        <v>1542</v>
      </c>
      <c r="C252" s="472" t="s">
        <v>104</v>
      </c>
      <c r="D252" s="524">
        <v>8.4000000000000005E-2</v>
      </c>
      <c r="E252" s="754">
        <v>5.46</v>
      </c>
      <c r="F252" s="1311">
        <f>TRUNC((D252*E252),2)</f>
        <v>0.45</v>
      </c>
      <c r="G252" s="62"/>
      <c r="H252" s="62"/>
    </row>
    <row r="253" spans="1:8" ht="53.25" customHeight="1">
      <c r="A253" s="213">
        <v>87261</v>
      </c>
      <c r="B253" s="208" t="s">
        <v>1536</v>
      </c>
      <c r="C253" s="472" t="s">
        <v>48</v>
      </c>
      <c r="D253" s="524">
        <v>0.40279999999999999</v>
      </c>
      <c r="E253" s="754">
        <v>166.19</v>
      </c>
      <c r="F253" s="1311">
        <f>TRUNC((D253*E253),2)</f>
        <v>66.94</v>
      </c>
      <c r="G253" s="62"/>
      <c r="H253" s="62"/>
    </row>
    <row r="254" spans="1:8" ht="15.75" thickBot="1">
      <c r="A254" s="210"/>
      <c r="B254" s="200"/>
      <c r="C254" s="201"/>
      <c r="D254" s="233"/>
      <c r="E254" s="234" t="s">
        <v>60</v>
      </c>
      <c r="F254" s="202">
        <f>SUM(F251:F253)</f>
        <v>67.95</v>
      </c>
      <c r="G254" s="62"/>
      <c r="H254" s="62"/>
    </row>
    <row r="255" spans="1:8" ht="15.75" thickBot="1">
      <c r="A255" s="192"/>
      <c r="B255" s="2094" t="s">
        <v>55</v>
      </c>
      <c r="C255" s="2094"/>
      <c r="D255" s="2094"/>
      <c r="E255" s="2094"/>
      <c r="F255" s="193">
        <f>F249+F254</f>
        <v>70.39</v>
      </c>
      <c r="G255" s="62"/>
      <c r="H255" s="62"/>
    </row>
    <row r="256" spans="1:8" ht="39" customHeight="1" thickBot="1">
      <c r="A256" s="756" t="s">
        <v>1546</v>
      </c>
      <c r="B256" s="757" t="s">
        <v>1547</v>
      </c>
      <c r="C256" s="757"/>
      <c r="D256" s="2178"/>
      <c r="E256" s="2178"/>
      <c r="F256" s="758"/>
      <c r="G256" s="62"/>
      <c r="H256" s="62"/>
    </row>
    <row r="257" spans="1:8" ht="15.75" thickBot="1">
      <c r="A257" s="423"/>
      <c r="B257" s="514"/>
      <c r="C257" s="515"/>
      <c r="D257" s="516"/>
      <c r="E257" s="753"/>
      <c r="F257" s="395"/>
      <c r="G257" s="62"/>
      <c r="H257" s="62"/>
    </row>
    <row r="258" spans="1:8" ht="28.5" customHeight="1">
      <c r="A258" s="424" t="s">
        <v>609</v>
      </c>
      <c r="B258" s="422" t="s">
        <v>462</v>
      </c>
      <c r="C258" s="152" t="s">
        <v>57</v>
      </c>
      <c r="D258" s="153"/>
      <c r="E258" s="153"/>
      <c r="F258" s="399"/>
      <c r="G258" s="62"/>
      <c r="H258" s="62"/>
    </row>
    <row r="259" spans="1:8" ht="15.75">
      <c r="A259" s="2130" t="s">
        <v>461</v>
      </c>
      <c r="B259" s="2131"/>
      <c r="C259" s="2131"/>
      <c r="D259" s="2131"/>
      <c r="E259" s="2131"/>
      <c r="F259" s="2132"/>
      <c r="G259" s="62"/>
      <c r="H259" s="1358" t="s">
        <v>489</v>
      </c>
    </row>
    <row r="260" spans="1:8" ht="27" customHeight="1">
      <c r="A260" s="1308"/>
      <c r="B260" s="1319" t="s">
        <v>58</v>
      </c>
      <c r="C260" s="92" t="s">
        <v>51</v>
      </c>
      <c r="D260" s="93" t="s">
        <v>52</v>
      </c>
      <c r="E260" s="264" t="s">
        <v>64</v>
      </c>
      <c r="F260" s="1309" t="s">
        <v>54</v>
      </c>
      <c r="G260" s="62"/>
      <c r="H260" s="62"/>
    </row>
    <row r="261" spans="1:8" ht="25.5">
      <c r="A261" s="391">
        <v>88267</v>
      </c>
      <c r="B261" s="401" t="s">
        <v>106</v>
      </c>
      <c r="C261" s="97" t="s">
        <v>59</v>
      </c>
      <c r="D261" s="231">
        <v>0.94850000000000001</v>
      </c>
      <c r="E261" s="228">
        <v>22.37</v>
      </c>
      <c r="F261" s="1311">
        <f>TRUNC((D261*E261),2)</f>
        <v>21.21</v>
      </c>
      <c r="G261" s="62"/>
      <c r="H261" s="62"/>
    </row>
    <row r="262" spans="1:8">
      <c r="A262" s="1312">
        <v>88316</v>
      </c>
      <c r="B262" s="303" t="s">
        <v>68</v>
      </c>
      <c r="C262" s="97" t="s">
        <v>59</v>
      </c>
      <c r="D262" s="231">
        <v>0.29880000000000001</v>
      </c>
      <c r="E262" s="228">
        <v>17.82</v>
      </c>
      <c r="F262" s="1311">
        <f>TRUNC((D262*E262),2)</f>
        <v>5.32</v>
      </c>
      <c r="G262" s="62"/>
      <c r="H262" s="413"/>
    </row>
    <row r="263" spans="1:8" ht="15" customHeight="1">
      <c r="A263" s="1364"/>
      <c r="B263" s="1313"/>
      <c r="C263" s="32" t="s">
        <v>43</v>
      </c>
      <c r="D263" s="98" t="s">
        <v>43</v>
      </c>
      <c r="E263" s="1427" t="s">
        <v>60</v>
      </c>
      <c r="F263" s="1314">
        <f>SUM(F261:F262)</f>
        <v>26.53</v>
      </c>
      <c r="G263" s="62"/>
      <c r="H263" s="412"/>
    </row>
    <row r="264" spans="1:8" ht="30">
      <c r="A264" s="1364"/>
      <c r="B264" s="1319" t="s">
        <v>98</v>
      </c>
      <c r="C264" s="92" t="s">
        <v>51</v>
      </c>
      <c r="D264" s="93" t="s">
        <v>52</v>
      </c>
      <c r="E264" s="105" t="s">
        <v>64</v>
      </c>
      <c r="F264" s="1309" t="s">
        <v>54</v>
      </c>
      <c r="G264" s="62"/>
      <c r="H264" s="62"/>
    </row>
    <row r="265" spans="1:8" ht="25.5">
      <c r="A265" s="391">
        <v>36080</v>
      </c>
      <c r="B265" s="401" t="s">
        <v>460</v>
      </c>
      <c r="C265" s="97" t="s">
        <v>57</v>
      </c>
      <c r="D265" s="393">
        <v>1</v>
      </c>
      <c r="E265" s="228">
        <v>169</v>
      </c>
      <c r="F265" s="1311">
        <f>TRUNC((D265*E265),2)</f>
        <v>169</v>
      </c>
    </row>
    <row r="266" spans="1:8" ht="51">
      <c r="A266" s="400">
        <v>4351</v>
      </c>
      <c r="B266" s="401" t="s">
        <v>465</v>
      </c>
      <c r="C266" s="97" t="s">
        <v>57</v>
      </c>
      <c r="D266" s="393">
        <v>6</v>
      </c>
      <c r="E266" s="228">
        <v>18.02</v>
      </c>
      <c r="F266" s="1311">
        <f>TRUNC((D266*E266),2)</f>
        <v>108.12</v>
      </c>
    </row>
    <row r="267" spans="1:8">
      <c r="A267" s="138"/>
      <c r="B267" s="194"/>
      <c r="C267" s="146"/>
      <c r="D267" s="195"/>
      <c r="E267" s="299" t="s">
        <v>60</v>
      </c>
      <c r="F267" s="408">
        <f>SUM(F265:F266)</f>
        <v>277.12</v>
      </c>
    </row>
    <row r="268" spans="1:8" ht="15.75" thickBot="1">
      <c r="A268" s="1377"/>
      <c r="B268" s="2126" t="s">
        <v>55</v>
      </c>
      <c r="C268" s="2127"/>
      <c r="D268" s="2127"/>
      <c r="E268" s="2128"/>
      <c r="F268" s="1378">
        <f>F263+F267</f>
        <v>303.64999999999998</v>
      </c>
    </row>
    <row r="269" spans="1:8" ht="15.75" thickBot="1">
      <c r="A269" s="45"/>
      <c r="B269" s="301"/>
      <c r="C269" s="302"/>
      <c r="D269" s="302"/>
      <c r="E269" s="302"/>
      <c r="F269" s="45"/>
    </row>
    <row r="270" spans="1:8" ht="28.5" customHeight="1">
      <c r="A270" s="424" t="s">
        <v>617</v>
      </c>
      <c r="B270" s="422" t="s">
        <v>463</v>
      </c>
      <c r="C270" s="152" t="s">
        <v>57</v>
      </c>
      <c r="D270" s="153"/>
      <c r="E270" s="153"/>
      <c r="F270" s="399"/>
    </row>
    <row r="271" spans="1:8" ht="15.75">
      <c r="A271" s="2117" t="s">
        <v>464</v>
      </c>
      <c r="B271" s="2129"/>
      <c r="C271" s="2129"/>
      <c r="D271" s="2129"/>
      <c r="E271" s="2129"/>
      <c r="F271" s="2119"/>
      <c r="H271" s="1358" t="s">
        <v>489</v>
      </c>
    </row>
    <row r="272" spans="1:8" ht="29.25" customHeight="1">
      <c r="A272" s="1308"/>
      <c r="B272" s="1319" t="s">
        <v>58</v>
      </c>
      <c r="C272" s="92" t="s">
        <v>51</v>
      </c>
      <c r="D272" s="93" t="s">
        <v>52</v>
      </c>
      <c r="E272" s="264" t="s">
        <v>64</v>
      </c>
      <c r="F272" s="1309" t="s">
        <v>54</v>
      </c>
    </row>
    <row r="273" spans="1:8" ht="26.25" customHeight="1">
      <c r="A273" s="391">
        <v>88267</v>
      </c>
      <c r="B273" s="401" t="s">
        <v>106</v>
      </c>
      <c r="C273" s="97" t="s">
        <v>59</v>
      </c>
      <c r="D273" s="231">
        <v>0.94850000000000001</v>
      </c>
      <c r="E273" s="228">
        <v>22.37</v>
      </c>
      <c r="F273" s="1311">
        <f>TRUNC((D273*E273),2)</f>
        <v>21.21</v>
      </c>
    </row>
    <row r="274" spans="1:8">
      <c r="A274" s="1312">
        <v>88316</v>
      </c>
      <c r="B274" s="303" t="s">
        <v>68</v>
      </c>
      <c r="C274" s="97" t="s">
        <v>59</v>
      </c>
      <c r="D274" s="231">
        <v>0.29880000000000001</v>
      </c>
      <c r="E274" s="228">
        <v>17.82</v>
      </c>
      <c r="F274" s="1311">
        <f>TRUNC((D274*E274),2)</f>
        <v>5.32</v>
      </c>
    </row>
    <row r="275" spans="1:8">
      <c r="A275" s="1364"/>
      <c r="B275" s="1313"/>
      <c r="C275" s="32" t="s">
        <v>43</v>
      </c>
      <c r="D275" s="98" t="s">
        <v>43</v>
      </c>
      <c r="E275" s="1427" t="s">
        <v>60</v>
      </c>
      <c r="F275" s="1314">
        <f>SUM(F273:F274)</f>
        <v>26.53</v>
      </c>
    </row>
    <row r="276" spans="1:8" ht="30">
      <c r="A276" s="1364"/>
      <c r="B276" s="1319" t="s">
        <v>98</v>
      </c>
      <c r="C276" s="92" t="s">
        <v>51</v>
      </c>
      <c r="D276" s="93" t="s">
        <v>52</v>
      </c>
      <c r="E276" s="105" t="s">
        <v>64</v>
      </c>
      <c r="F276" s="1309" t="s">
        <v>54</v>
      </c>
    </row>
    <row r="277" spans="1:8" ht="25.5">
      <c r="A277" s="1312">
        <v>36220</v>
      </c>
      <c r="B277" s="1419" t="s">
        <v>460</v>
      </c>
      <c r="C277" s="1420" t="s">
        <v>57</v>
      </c>
      <c r="D277" s="1421">
        <v>1</v>
      </c>
      <c r="E277" s="1422">
        <v>156.24</v>
      </c>
      <c r="F277" s="1311">
        <f>TRUNC((D277*E277),2)</f>
        <v>156.24</v>
      </c>
    </row>
    <row r="278" spans="1:8" ht="41.25" customHeight="1">
      <c r="A278" s="391">
        <v>4351</v>
      </c>
      <c r="B278" s="401" t="s">
        <v>465</v>
      </c>
      <c r="C278" s="97" t="s">
        <v>57</v>
      </c>
      <c r="D278" s="393">
        <v>6</v>
      </c>
      <c r="E278" s="228">
        <v>18.02</v>
      </c>
      <c r="F278" s="229">
        <f>TRUNC((D278*E278),2)</f>
        <v>108.12</v>
      </c>
    </row>
    <row r="279" spans="1:8" ht="18" customHeight="1">
      <c r="A279" s="138"/>
      <c r="B279" s="194"/>
      <c r="C279" s="146"/>
      <c r="D279" s="195"/>
      <c r="E279" s="299" t="s">
        <v>60</v>
      </c>
      <c r="F279" s="408">
        <f>SUM(F277:F278)</f>
        <v>264.36</v>
      </c>
    </row>
    <row r="280" spans="1:8" ht="15.75" thickBot="1">
      <c r="A280" s="1377"/>
      <c r="B280" s="2126" t="s">
        <v>55</v>
      </c>
      <c r="C280" s="2127"/>
      <c r="D280" s="2127"/>
      <c r="E280" s="2128"/>
      <c r="F280" s="1378">
        <f>F275+F279</f>
        <v>290.89</v>
      </c>
    </row>
    <row r="281" spans="1:8" ht="15.75" thickBot="1">
      <c r="A281" s="205"/>
      <c r="B281" s="205"/>
      <c r="C281" s="205"/>
      <c r="D281" s="205"/>
      <c r="E281" s="205"/>
      <c r="F281" s="205"/>
    </row>
    <row r="282" spans="1:8" ht="42" customHeight="1">
      <c r="A282" s="424" t="s">
        <v>665</v>
      </c>
      <c r="B282" s="422" t="s">
        <v>1552</v>
      </c>
      <c r="C282" s="152" t="s">
        <v>48</v>
      </c>
      <c r="D282" s="153"/>
      <c r="E282" s="153"/>
      <c r="F282" s="399"/>
    </row>
    <row r="283" spans="1:8" ht="15" customHeight="1" thickBot="1">
      <c r="A283" s="2163" t="s">
        <v>1553</v>
      </c>
      <c r="B283" s="2164"/>
      <c r="C283" s="2164"/>
      <c r="D283" s="2164"/>
      <c r="E283" s="2164"/>
      <c r="F283" s="2165"/>
      <c r="H283" s="1358" t="s">
        <v>489</v>
      </c>
    </row>
    <row r="284" spans="1:8" ht="30.75" thickBot="1">
      <c r="A284" s="1473"/>
      <c r="B284" s="1474" t="s">
        <v>58</v>
      </c>
      <c r="C284" s="1475" t="s">
        <v>51</v>
      </c>
      <c r="D284" s="1476" t="s">
        <v>52</v>
      </c>
      <c r="E284" s="1477" t="s">
        <v>64</v>
      </c>
      <c r="F284" s="1478" t="s">
        <v>54</v>
      </c>
    </row>
    <row r="285" spans="1:8" ht="25.5">
      <c r="A285" s="1479">
        <v>88262</v>
      </c>
      <c r="B285" s="1372" t="s">
        <v>468</v>
      </c>
      <c r="C285" s="1373" t="s">
        <v>59</v>
      </c>
      <c r="D285" s="1480">
        <v>2.5</v>
      </c>
      <c r="E285" s="1375">
        <v>22.16</v>
      </c>
      <c r="F285" s="1481">
        <f>TRUNC((D285*E285),2)</f>
        <v>55.4</v>
      </c>
    </row>
    <row r="286" spans="1:8" ht="25.5">
      <c r="A286" s="1312">
        <v>88239</v>
      </c>
      <c r="B286" s="208" t="s">
        <v>483</v>
      </c>
      <c r="C286" s="97" t="s">
        <v>59</v>
      </c>
      <c r="D286" s="231">
        <v>2.5</v>
      </c>
      <c r="E286" s="228">
        <v>18.79</v>
      </c>
      <c r="F286" s="1311">
        <f>TRUNC((D286*E286),2)</f>
        <v>46.97</v>
      </c>
    </row>
    <row r="287" spans="1:8">
      <c r="A287" s="1364"/>
      <c r="B287" s="1313"/>
      <c r="C287" s="32" t="s">
        <v>43</v>
      </c>
      <c r="D287" s="98" t="s">
        <v>43</v>
      </c>
      <c r="E287" s="299" t="s">
        <v>60</v>
      </c>
      <c r="F287" s="1314">
        <f>SUM(F285:F286)</f>
        <v>102.37</v>
      </c>
    </row>
    <row r="288" spans="1:8" ht="30">
      <c r="A288" s="1364"/>
      <c r="B288" s="1319" t="s">
        <v>98</v>
      </c>
      <c r="C288" s="92" t="s">
        <v>51</v>
      </c>
      <c r="D288" s="93" t="s">
        <v>52</v>
      </c>
      <c r="E288" s="264" t="s">
        <v>64</v>
      </c>
      <c r="F288" s="1309" t="s">
        <v>54</v>
      </c>
    </row>
    <row r="289" spans="1:10" ht="29.25" customHeight="1">
      <c r="A289" s="391">
        <v>584</v>
      </c>
      <c r="B289" s="401" t="s">
        <v>1568</v>
      </c>
      <c r="C289" s="97" t="s">
        <v>56</v>
      </c>
      <c r="D289" s="393">
        <v>3.5</v>
      </c>
      <c r="E289" s="228">
        <v>39.32</v>
      </c>
      <c r="F289" s="1311">
        <f>TRUNC((D289*E289),2)</f>
        <v>137.62</v>
      </c>
    </row>
    <row r="290" spans="1:10" ht="38.25">
      <c r="A290" s="391">
        <v>4358</v>
      </c>
      <c r="B290" s="208" t="s">
        <v>1569</v>
      </c>
      <c r="C290" s="97" t="s">
        <v>57</v>
      </c>
      <c r="D290" s="393">
        <v>2.5</v>
      </c>
      <c r="E290" s="228">
        <v>2.19</v>
      </c>
      <c r="F290" s="1311">
        <f>TRUNC((D290*E290),2)</f>
        <v>5.47</v>
      </c>
    </row>
    <row r="291" spans="1:10" ht="25.5">
      <c r="A291" s="391">
        <v>11134</v>
      </c>
      <c r="B291" s="208" t="s">
        <v>1567</v>
      </c>
      <c r="C291" s="97" t="s">
        <v>48</v>
      </c>
      <c r="D291" s="393">
        <v>1.1000000000000001</v>
      </c>
      <c r="E291" s="228">
        <v>91.56</v>
      </c>
      <c r="F291" s="1311">
        <f>TRUNC((D291*E291),2)</f>
        <v>100.71</v>
      </c>
    </row>
    <row r="292" spans="1:10">
      <c r="A292" s="391">
        <v>11186</v>
      </c>
      <c r="B292" s="208" t="s">
        <v>1566</v>
      </c>
      <c r="C292" s="97" t="s">
        <v>48</v>
      </c>
      <c r="D292" s="393">
        <v>1.1000000000000001</v>
      </c>
      <c r="E292" s="228">
        <v>714.75</v>
      </c>
      <c r="F292" s="1311">
        <f>TRUNC((D292*E292),2)</f>
        <v>786.22</v>
      </c>
    </row>
    <row r="293" spans="1:10">
      <c r="A293" s="138"/>
      <c r="B293" s="194"/>
      <c r="C293" s="146"/>
      <c r="D293" s="195"/>
      <c r="E293" s="299" t="s">
        <v>60</v>
      </c>
      <c r="F293" s="408">
        <f>SUM(F289:F292)</f>
        <v>1030.02</v>
      </c>
    </row>
    <row r="294" spans="1:10" ht="15.75" thickBot="1">
      <c r="A294" s="1377"/>
      <c r="B294" s="2126" t="s">
        <v>55</v>
      </c>
      <c r="C294" s="2127"/>
      <c r="D294" s="2127"/>
      <c r="E294" s="2128"/>
      <c r="F294" s="1378">
        <f>F287+F293</f>
        <v>1132.3899999999999</v>
      </c>
    </row>
    <row r="295" spans="1:10" ht="15.75" thickBot="1">
      <c r="A295" s="205"/>
      <c r="B295" s="205"/>
      <c r="C295" s="205"/>
      <c r="D295" s="205"/>
      <c r="E295" s="205"/>
      <c r="F295" s="205"/>
    </row>
    <row r="296" spans="1:10">
      <c r="A296" s="424" t="s">
        <v>1557</v>
      </c>
      <c r="B296" s="511" t="s">
        <v>1558</v>
      </c>
      <c r="C296" s="759" t="s">
        <v>57</v>
      </c>
      <c r="D296" s="760"/>
      <c r="E296" s="761"/>
      <c r="F296" s="762"/>
    </row>
    <row r="297" spans="1:10" ht="15" customHeight="1">
      <c r="A297" s="2117" t="s">
        <v>1559</v>
      </c>
      <c r="B297" s="2118"/>
      <c r="C297" s="2118"/>
      <c r="D297" s="2118"/>
      <c r="E297" s="2118"/>
      <c r="F297" s="2119"/>
      <c r="H297" s="1358" t="s">
        <v>489</v>
      </c>
      <c r="I297" s="126"/>
      <c r="J297" s="126"/>
    </row>
    <row r="298" spans="1:10" ht="30">
      <c r="A298" s="1308"/>
      <c r="B298" s="1319" t="s">
        <v>58</v>
      </c>
      <c r="C298" s="92" t="s">
        <v>51</v>
      </c>
      <c r="D298" s="93" t="s">
        <v>52</v>
      </c>
      <c r="E298" s="264" t="s">
        <v>64</v>
      </c>
      <c r="F298" s="1309" t="s">
        <v>54</v>
      </c>
    </row>
    <row r="299" spans="1:10" ht="17.25" customHeight="1">
      <c r="A299" s="391">
        <v>88309</v>
      </c>
      <c r="B299" s="1404" t="s">
        <v>107</v>
      </c>
      <c r="C299" s="97" t="s">
        <v>59</v>
      </c>
      <c r="D299" s="231">
        <v>0.4</v>
      </c>
      <c r="E299" s="228">
        <v>22.41</v>
      </c>
      <c r="F299" s="1311">
        <f>TRUNC((D299*E299),2)</f>
        <v>8.9600000000000009</v>
      </c>
    </row>
    <row r="300" spans="1:10" ht="16.5" customHeight="1">
      <c r="A300" s="1312">
        <v>88316</v>
      </c>
      <c r="B300" s="763" t="s">
        <v>68</v>
      </c>
      <c r="C300" s="97" t="s">
        <v>59</v>
      </c>
      <c r="D300" s="231">
        <v>0.4</v>
      </c>
      <c r="E300" s="228">
        <v>17.82</v>
      </c>
      <c r="F300" s="1311">
        <f>TRUNC((D300*E300),2)</f>
        <v>7.12</v>
      </c>
    </row>
    <row r="301" spans="1:10">
      <c r="A301" s="1364"/>
      <c r="B301" s="1313"/>
      <c r="C301" s="32" t="s">
        <v>43</v>
      </c>
      <c r="D301" s="98" t="s">
        <v>43</v>
      </c>
      <c r="E301" s="299" t="s">
        <v>60</v>
      </c>
      <c r="F301" s="1314">
        <f>SUM(F299:F300)</f>
        <v>16.080000000000002</v>
      </c>
    </row>
    <row r="302" spans="1:10" ht="30">
      <c r="A302" s="1364"/>
      <c r="B302" s="1319" t="s">
        <v>98</v>
      </c>
      <c r="C302" s="92" t="s">
        <v>51</v>
      </c>
      <c r="D302" s="93" t="s">
        <v>52</v>
      </c>
      <c r="E302" s="264" t="s">
        <v>64</v>
      </c>
      <c r="F302" s="1309" t="s">
        <v>54</v>
      </c>
    </row>
    <row r="303" spans="1:10" ht="24.75" customHeight="1">
      <c r="A303" s="391">
        <v>37400</v>
      </c>
      <c r="B303" s="208" t="s">
        <v>1564</v>
      </c>
      <c r="C303" s="97" t="s">
        <v>57</v>
      </c>
      <c r="D303" s="393">
        <v>1</v>
      </c>
      <c r="E303" s="228">
        <v>75.599999999999994</v>
      </c>
      <c r="F303" s="1311">
        <f>TRUNC((D303*E303),2)</f>
        <v>75.599999999999994</v>
      </c>
    </row>
    <row r="304" spans="1:10">
      <c r="A304" s="138"/>
      <c r="B304" s="194"/>
      <c r="C304" s="146"/>
      <c r="D304" s="195"/>
      <c r="E304" s="299" t="s">
        <v>60</v>
      </c>
      <c r="F304" s="408">
        <f>SUM(F303:F303)</f>
        <v>75.599999999999994</v>
      </c>
    </row>
    <row r="305" spans="1:8" ht="15.75" thickBot="1">
      <c r="A305" s="1377"/>
      <c r="B305" s="2126" t="s">
        <v>55</v>
      </c>
      <c r="C305" s="2127"/>
      <c r="D305" s="2127"/>
      <c r="E305" s="2128"/>
      <c r="F305" s="1378">
        <f>F301+F304</f>
        <v>91.679999999999993</v>
      </c>
    </row>
    <row r="306" spans="1:8" ht="15.75" thickBot="1"/>
    <row r="307" spans="1:8">
      <c r="A307" s="424" t="s">
        <v>1560</v>
      </c>
      <c r="B307" s="511" t="s">
        <v>1561</v>
      </c>
      <c r="C307" s="759" t="s">
        <v>57</v>
      </c>
      <c r="D307" s="760"/>
      <c r="E307" s="761"/>
      <c r="F307" s="762"/>
    </row>
    <row r="308" spans="1:8" ht="15.75">
      <c r="A308" s="2117" t="s">
        <v>1562</v>
      </c>
      <c r="B308" s="2118"/>
      <c r="C308" s="2118"/>
      <c r="D308" s="2118"/>
      <c r="E308" s="2118"/>
      <c r="F308" s="2119"/>
      <c r="H308" s="1358" t="s">
        <v>489</v>
      </c>
    </row>
    <row r="309" spans="1:8" ht="30">
      <c r="A309" s="1308"/>
      <c r="B309" s="1319" t="s">
        <v>58</v>
      </c>
      <c r="C309" s="92" t="s">
        <v>51</v>
      </c>
      <c r="D309" s="93" t="s">
        <v>52</v>
      </c>
      <c r="E309" s="264" t="s">
        <v>64</v>
      </c>
      <c r="F309" s="1309" t="s">
        <v>54</v>
      </c>
    </row>
    <row r="310" spans="1:8">
      <c r="A310" s="391">
        <v>88309</v>
      </c>
      <c r="B310" s="1404" t="s">
        <v>107</v>
      </c>
      <c r="C310" s="97" t="s">
        <v>59</v>
      </c>
      <c r="D310" s="231">
        <v>0.4</v>
      </c>
      <c r="E310" s="228">
        <v>22.41</v>
      </c>
      <c r="F310" s="1311">
        <f>TRUNC((D310*E310),2)</f>
        <v>8.9600000000000009</v>
      </c>
    </row>
    <row r="311" spans="1:8">
      <c r="A311" s="1312">
        <v>88316</v>
      </c>
      <c r="B311" s="763" t="s">
        <v>68</v>
      </c>
      <c r="C311" s="97" t="s">
        <v>59</v>
      </c>
      <c r="D311" s="231">
        <v>0.4</v>
      </c>
      <c r="E311" s="228">
        <v>17.82</v>
      </c>
      <c r="F311" s="1311">
        <f>TRUNC((D311*E311),2)</f>
        <v>7.12</v>
      </c>
    </row>
    <row r="312" spans="1:8">
      <c r="A312" s="1364"/>
      <c r="B312" s="1313"/>
      <c r="C312" s="32" t="s">
        <v>43</v>
      </c>
      <c r="D312" s="98" t="s">
        <v>43</v>
      </c>
      <c r="E312" s="299" t="s">
        <v>60</v>
      </c>
      <c r="F312" s="1314">
        <f>SUM(F310:F311)</f>
        <v>16.080000000000002</v>
      </c>
    </row>
    <row r="313" spans="1:8" ht="30">
      <c r="A313" s="1364"/>
      <c r="B313" s="1319" t="s">
        <v>98</v>
      </c>
      <c r="C313" s="92" t="s">
        <v>51</v>
      </c>
      <c r="D313" s="93" t="s">
        <v>52</v>
      </c>
      <c r="E313" s="264" t="s">
        <v>64</v>
      </c>
      <c r="F313" s="1309" t="s">
        <v>54</v>
      </c>
    </row>
    <row r="314" spans="1:8" ht="25.5">
      <c r="A314" s="391">
        <v>37401</v>
      </c>
      <c r="B314" s="208" t="s">
        <v>1565</v>
      </c>
      <c r="C314" s="97" t="s">
        <v>57</v>
      </c>
      <c r="D314" s="393">
        <v>1</v>
      </c>
      <c r="E314" s="228">
        <v>75.599999999999994</v>
      </c>
      <c r="F314" s="1311">
        <f>TRUNC((D314*E314),2)</f>
        <v>75.599999999999994</v>
      </c>
    </row>
    <row r="315" spans="1:8">
      <c r="A315" s="138"/>
      <c r="B315" s="194"/>
      <c r="C315" s="146"/>
      <c r="D315" s="195"/>
      <c r="E315" s="299" t="s">
        <v>60</v>
      </c>
      <c r="F315" s="408">
        <f>SUM(F314:F314)</f>
        <v>75.599999999999994</v>
      </c>
    </row>
    <row r="316" spans="1:8" ht="15.75" thickBot="1">
      <c r="A316" s="1377"/>
      <c r="B316" s="2126" t="s">
        <v>55</v>
      </c>
      <c r="C316" s="2127"/>
      <c r="D316" s="2127"/>
      <c r="E316" s="2128"/>
      <c r="F316" s="1378">
        <f>F312+F315</f>
        <v>91.679999999999993</v>
      </c>
    </row>
    <row r="317" spans="1:8" ht="15.75" thickBot="1"/>
    <row r="318" spans="1:8" ht="51">
      <c r="A318" s="424" t="s">
        <v>1572</v>
      </c>
      <c r="B318" s="685" t="s">
        <v>1573</v>
      </c>
      <c r="C318" s="759" t="s">
        <v>48</v>
      </c>
      <c r="D318" s="760"/>
      <c r="E318" s="761"/>
      <c r="F318" s="762"/>
    </row>
    <row r="319" spans="1:8" ht="15.75">
      <c r="A319" s="2117" t="s">
        <v>1586</v>
      </c>
      <c r="B319" s="2129"/>
      <c r="C319" s="2129"/>
      <c r="D319" s="2129"/>
      <c r="E319" s="2129"/>
      <c r="F319" s="2119"/>
      <c r="H319" s="1358" t="s">
        <v>489</v>
      </c>
    </row>
    <row r="320" spans="1:8" ht="30">
      <c r="A320" s="90"/>
      <c r="B320" s="91" t="s">
        <v>58</v>
      </c>
      <c r="C320" s="92" t="s">
        <v>51</v>
      </c>
      <c r="D320" s="93" t="s">
        <v>52</v>
      </c>
      <c r="E320" s="105" t="s">
        <v>64</v>
      </c>
      <c r="F320" s="94" t="s">
        <v>54</v>
      </c>
    </row>
    <row r="321" spans="1:8" ht="25.5">
      <c r="A321" s="391">
        <v>88256</v>
      </c>
      <c r="B321" s="208" t="s">
        <v>1541</v>
      </c>
      <c r="C321" s="97" t="s">
        <v>59</v>
      </c>
      <c r="D321" s="231">
        <v>0.91</v>
      </c>
      <c r="E321" s="228">
        <v>22.32</v>
      </c>
      <c r="F321" s="229">
        <f>TRUNC((D321*E321),2)</f>
        <v>20.309999999999999</v>
      </c>
    </row>
    <row r="322" spans="1:8">
      <c r="A322" s="391">
        <v>88316</v>
      </c>
      <c r="B322" s="763" t="s">
        <v>68</v>
      </c>
      <c r="C322" s="97" t="s">
        <v>59</v>
      </c>
      <c r="D322" s="231">
        <v>0.46</v>
      </c>
      <c r="E322" s="228">
        <v>17.82</v>
      </c>
      <c r="F322" s="229">
        <f>TRUNC((D322*E322),2)</f>
        <v>8.19</v>
      </c>
    </row>
    <row r="323" spans="1:8">
      <c r="A323" s="95"/>
      <c r="B323" s="96"/>
      <c r="C323" s="32" t="s">
        <v>43</v>
      </c>
      <c r="D323" s="98" t="s">
        <v>43</v>
      </c>
      <c r="E323" s="299" t="s">
        <v>60</v>
      </c>
      <c r="F323" s="408">
        <f>SUM(F321:F322)</f>
        <v>28.5</v>
      </c>
    </row>
    <row r="324" spans="1:8" ht="30">
      <c r="A324" s="95"/>
      <c r="B324" s="91" t="s">
        <v>98</v>
      </c>
      <c r="C324" s="92" t="s">
        <v>51</v>
      </c>
      <c r="D324" s="93" t="s">
        <v>52</v>
      </c>
      <c r="E324" s="105" t="s">
        <v>64</v>
      </c>
      <c r="F324" s="94" t="s">
        <v>54</v>
      </c>
    </row>
    <row r="325" spans="1:8" ht="37.5" customHeight="1">
      <c r="A325" s="391">
        <v>536</v>
      </c>
      <c r="B325" s="208" t="s">
        <v>1574</v>
      </c>
      <c r="C325" s="97" t="s">
        <v>48</v>
      </c>
      <c r="D325" s="393">
        <v>1.0900000000000001</v>
      </c>
      <c r="E325" s="228">
        <v>34.9</v>
      </c>
      <c r="F325" s="229">
        <f>TRUNC((D325*E325),2)</f>
        <v>38.04</v>
      </c>
    </row>
    <row r="326" spans="1:8">
      <c r="A326" s="391">
        <v>1381</v>
      </c>
      <c r="B326" s="208" t="s">
        <v>1575</v>
      </c>
      <c r="C326" s="97" t="s">
        <v>104</v>
      </c>
      <c r="D326" s="393">
        <v>6.14</v>
      </c>
      <c r="E326" s="228">
        <v>0.93</v>
      </c>
      <c r="F326" s="229">
        <f>TRUNC((D326*E326),2)</f>
        <v>5.71</v>
      </c>
    </row>
    <row r="327" spans="1:8">
      <c r="A327" s="391">
        <v>34357</v>
      </c>
      <c r="B327" s="208" t="s">
        <v>1542</v>
      </c>
      <c r="C327" s="97" t="s">
        <v>104</v>
      </c>
      <c r="D327" s="393">
        <v>0.22</v>
      </c>
      <c r="E327" s="228">
        <v>5.46</v>
      </c>
      <c r="F327" s="229">
        <f>TRUNC((D327*E327),2)</f>
        <v>1.2</v>
      </c>
    </row>
    <row r="328" spans="1:8">
      <c r="A328" s="138"/>
      <c r="B328" s="194"/>
      <c r="C328" s="146"/>
      <c r="D328" s="195"/>
      <c r="E328" s="299" t="s">
        <v>60</v>
      </c>
      <c r="F328" s="408">
        <f>SUM(F325:F327)</f>
        <v>44.95</v>
      </c>
    </row>
    <row r="329" spans="1:8" ht="15.75" thickBot="1">
      <c r="A329" s="1377"/>
      <c r="B329" s="2126" t="s">
        <v>55</v>
      </c>
      <c r="C329" s="2127"/>
      <c r="D329" s="2127"/>
      <c r="E329" s="2128"/>
      <c r="F329" s="1378">
        <f>F323+F328</f>
        <v>73.45</v>
      </c>
    </row>
    <row r="330" spans="1:8" ht="15.75" thickBot="1"/>
    <row r="331" spans="1:8" ht="51">
      <c r="A331" s="424" t="s">
        <v>1576</v>
      </c>
      <c r="B331" s="685" t="s">
        <v>1577</v>
      </c>
      <c r="C331" s="759" t="s">
        <v>48</v>
      </c>
      <c r="D331" s="760"/>
      <c r="E331" s="761"/>
      <c r="F331" s="762"/>
    </row>
    <row r="332" spans="1:8" ht="15.75">
      <c r="A332" s="2117" t="s">
        <v>1585</v>
      </c>
      <c r="B332" s="2129"/>
      <c r="C332" s="2129"/>
      <c r="D332" s="2129"/>
      <c r="E332" s="2129"/>
      <c r="F332" s="2119"/>
      <c r="H332" s="1358" t="s">
        <v>489</v>
      </c>
    </row>
    <row r="333" spans="1:8" ht="30.75" thickBot="1">
      <c r="A333" s="1482"/>
      <c r="B333" s="1396" t="s">
        <v>58</v>
      </c>
      <c r="C333" s="1392" t="s">
        <v>51</v>
      </c>
      <c r="D333" s="1393" t="s">
        <v>52</v>
      </c>
      <c r="E333" s="1398" t="s">
        <v>64</v>
      </c>
      <c r="F333" s="202" t="s">
        <v>54</v>
      </c>
    </row>
    <row r="334" spans="1:8" ht="25.5">
      <c r="A334" s="1371">
        <v>88256</v>
      </c>
      <c r="B334" s="1405" t="s">
        <v>1541</v>
      </c>
      <c r="C334" s="1373" t="s">
        <v>59</v>
      </c>
      <c r="D334" s="1480">
        <v>1.02</v>
      </c>
      <c r="E334" s="1375">
        <v>22.32</v>
      </c>
      <c r="F334" s="1481">
        <f>TRUNC((D334*E334),2)</f>
        <v>22.76</v>
      </c>
    </row>
    <row r="335" spans="1:8">
      <c r="A335" s="1312">
        <v>88316</v>
      </c>
      <c r="B335" s="763" t="s">
        <v>68</v>
      </c>
      <c r="C335" s="97" t="s">
        <v>59</v>
      </c>
      <c r="D335" s="231">
        <v>0.5</v>
      </c>
      <c r="E335" s="228">
        <v>17.82</v>
      </c>
      <c r="F335" s="1311">
        <f>TRUNC((D335*E335),2)</f>
        <v>8.91</v>
      </c>
    </row>
    <row r="336" spans="1:8">
      <c r="A336" s="1364"/>
      <c r="B336" s="1313"/>
      <c r="C336" s="32" t="s">
        <v>43</v>
      </c>
      <c r="D336" s="98" t="s">
        <v>43</v>
      </c>
      <c r="E336" s="299" t="s">
        <v>60</v>
      </c>
      <c r="F336" s="1314">
        <f>SUM(F334:F335)</f>
        <v>31.67</v>
      </c>
    </row>
    <row r="337" spans="1:8" ht="30">
      <c r="A337" s="1364"/>
      <c r="B337" s="1319" t="s">
        <v>98</v>
      </c>
      <c r="C337" s="92" t="s">
        <v>51</v>
      </c>
      <c r="D337" s="93" t="s">
        <v>52</v>
      </c>
      <c r="E337" s="264" t="s">
        <v>64</v>
      </c>
      <c r="F337" s="1309" t="s">
        <v>54</v>
      </c>
    </row>
    <row r="338" spans="1:8" ht="38.25">
      <c r="A338" s="391">
        <v>536</v>
      </c>
      <c r="B338" s="208" t="s">
        <v>1574</v>
      </c>
      <c r="C338" s="97" t="s">
        <v>48</v>
      </c>
      <c r="D338" s="393">
        <v>1.0900000000000001</v>
      </c>
      <c r="E338" s="228">
        <v>34.9</v>
      </c>
      <c r="F338" s="1311">
        <f>TRUNC((D338*E338),2)</f>
        <v>38.04</v>
      </c>
    </row>
    <row r="339" spans="1:8">
      <c r="A339" s="391">
        <v>1381</v>
      </c>
      <c r="B339" s="208" t="s">
        <v>1575</v>
      </c>
      <c r="C339" s="97" t="s">
        <v>104</v>
      </c>
      <c r="D339" s="393">
        <v>6.14</v>
      </c>
      <c r="E339" s="228">
        <v>0.93</v>
      </c>
      <c r="F339" s="1311">
        <f>TRUNC((D339*E339),2)</f>
        <v>5.71</v>
      </c>
    </row>
    <row r="340" spans="1:8">
      <c r="A340" s="391">
        <v>34357</v>
      </c>
      <c r="B340" s="208" t="s">
        <v>1542</v>
      </c>
      <c r="C340" s="97" t="s">
        <v>104</v>
      </c>
      <c r="D340" s="393">
        <v>0.22</v>
      </c>
      <c r="E340" s="228">
        <v>5.46</v>
      </c>
      <c r="F340" s="1311">
        <f>TRUNC((D340*E340),2)</f>
        <v>1.2</v>
      </c>
    </row>
    <row r="341" spans="1:8">
      <c r="A341" s="138"/>
      <c r="B341" s="194"/>
      <c r="C341" s="146"/>
      <c r="D341" s="195"/>
      <c r="E341" s="299" t="s">
        <v>60</v>
      </c>
      <c r="F341" s="408">
        <f>SUM(F338:F340)</f>
        <v>44.95</v>
      </c>
    </row>
    <row r="342" spans="1:8" ht="15.75" thickBot="1">
      <c r="A342" s="1377"/>
      <c r="B342" s="2126" t="s">
        <v>55</v>
      </c>
      <c r="C342" s="2127"/>
      <c r="D342" s="2127"/>
      <c r="E342" s="2128"/>
      <c r="F342" s="1378">
        <f>F336+F341</f>
        <v>76.62</v>
      </c>
    </row>
    <row r="343" spans="1:8" ht="15.75" thickBot="1"/>
    <row r="344" spans="1:8" ht="38.25" customHeight="1">
      <c r="A344" s="424" t="s">
        <v>1582</v>
      </c>
      <c r="B344" s="771" t="s">
        <v>1595</v>
      </c>
      <c r="C344" s="759" t="s">
        <v>48</v>
      </c>
      <c r="D344" s="760"/>
      <c r="E344" s="761"/>
      <c r="F344" s="762"/>
    </row>
    <row r="345" spans="1:8" ht="15" customHeight="1">
      <c r="A345" s="2117" t="s">
        <v>1593</v>
      </c>
      <c r="B345" s="2118"/>
      <c r="C345" s="2118"/>
      <c r="D345" s="2118"/>
      <c r="E345" s="2118"/>
      <c r="F345" s="2119"/>
      <c r="H345" s="1358" t="s">
        <v>489</v>
      </c>
    </row>
    <row r="346" spans="1:8" ht="30">
      <c r="A346" s="1308"/>
      <c r="B346" s="1319" t="s">
        <v>58</v>
      </c>
      <c r="C346" s="92" t="s">
        <v>51</v>
      </c>
      <c r="D346" s="93" t="s">
        <v>52</v>
      </c>
      <c r="E346" s="264" t="s">
        <v>64</v>
      </c>
      <c r="F346" s="1309" t="s">
        <v>54</v>
      </c>
    </row>
    <row r="347" spans="1:8" ht="25.5">
      <c r="A347" s="391">
        <v>88256</v>
      </c>
      <c r="B347" s="1404" t="s">
        <v>1541</v>
      </c>
      <c r="C347" s="97" t="s">
        <v>59</v>
      </c>
      <c r="D347" s="231">
        <v>0.4</v>
      </c>
      <c r="E347" s="228">
        <v>22.32</v>
      </c>
      <c r="F347" s="1311">
        <f>TRUNC((D347*E347),2)</f>
        <v>8.92</v>
      </c>
    </row>
    <row r="348" spans="1:8">
      <c r="A348" s="1312">
        <v>88316</v>
      </c>
      <c r="B348" s="763" t="s">
        <v>68</v>
      </c>
      <c r="C348" s="97" t="s">
        <v>59</v>
      </c>
      <c r="D348" s="231">
        <v>0.34</v>
      </c>
      <c r="E348" s="228">
        <v>17.82</v>
      </c>
      <c r="F348" s="1311">
        <f>TRUNC((D348*E348),2)</f>
        <v>6.05</v>
      </c>
    </row>
    <row r="349" spans="1:8">
      <c r="A349" s="1364"/>
      <c r="B349" s="1313"/>
      <c r="C349" s="32" t="s">
        <v>43</v>
      </c>
      <c r="D349" s="98" t="s">
        <v>43</v>
      </c>
      <c r="E349" s="299" t="s">
        <v>60</v>
      </c>
      <c r="F349" s="1314">
        <f>SUM(F347:F348)</f>
        <v>14.969999999999999</v>
      </c>
    </row>
    <row r="350" spans="1:8" ht="30">
      <c r="A350" s="1364"/>
      <c r="B350" s="1319" t="s">
        <v>98</v>
      </c>
      <c r="C350" s="92" t="s">
        <v>51</v>
      </c>
      <c r="D350" s="93" t="s">
        <v>52</v>
      </c>
      <c r="E350" s="264" t="s">
        <v>64</v>
      </c>
      <c r="F350" s="1309" t="s">
        <v>54</v>
      </c>
    </row>
    <row r="351" spans="1:8" ht="25.5">
      <c r="A351" s="358" t="s">
        <v>67</v>
      </c>
      <c r="B351" s="772" t="s">
        <v>1596</v>
      </c>
      <c r="C351" s="97" t="s">
        <v>48</v>
      </c>
      <c r="D351" s="393">
        <v>1.05</v>
      </c>
      <c r="E351" s="228">
        <v>265.5</v>
      </c>
      <c r="F351" s="1311">
        <f>TRUNC((D351*E351),2)</f>
        <v>278.77</v>
      </c>
      <c r="G351" s="1529">
        <f>C361</f>
        <v>265.5</v>
      </c>
      <c r="H351" s="770"/>
    </row>
    <row r="352" spans="1:8">
      <c r="A352" s="391">
        <v>34353</v>
      </c>
      <c r="B352" s="208" t="s">
        <v>1594</v>
      </c>
      <c r="C352" s="97" t="s">
        <v>104</v>
      </c>
      <c r="D352" s="393">
        <v>4</v>
      </c>
      <c r="E352" s="228">
        <v>1.73</v>
      </c>
      <c r="F352" s="1311">
        <f>TRUNC((D352*E352),2)</f>
        <v>6.92</v>
      </c>
    </row>
    <row r="353" spans="1:8">
      <c r="A353" s="391">
        <v>34357</v>
      </c>
      <c r="B353" s="208" t="s">
        <v>1542</v>
      </c>
      <c r="C353" s="97" t="s">
        <v>104</v>
      </c>
      <c r="D353" s="393">
        <v>0.66</v>
      </c>
      <c r="E353" s="228">
        <v>5.46</v>
      </c>
      <c r="F353" s="1311">
        <f>TRUNC((D353*E353),2)</f>
        <v>3.6</v>
      </c>
    </row>
    <row r="354" spans="1:8">
      <c r="A354" s="138"/>
      <c r="B354" s="194"/>
      <c r="C354" s="146"/>
      <c r="D354" s="195"/>
      <c r="E354" s="299" t="s">
        <v>60</v>
      </c>
      <c r="F354" s="408">
        <f>F351+F352+F353</f>
        <v>289.29000000000002</v>
      </c>
    </row>
    <row r="355" spans="1:8" ht="15.75" thickBot="1">
      <c r="A355" s="1377"/>
      <c r="B355" s="2126" t="s">
        <v>55</v>
      </c>
      <c r="C355" s="2127"/>
      <c r="D355" s="2127"/>
      <c r="E355" s="2128"/>
      <c r="F355" s="1378">
        <f>SUM(F349,F354)</f>
        <v>304.26</v>
      </c>
      <c r="G355" s="732"/>
    </row>
    <row r="356" spans="1:8">
      <c r="A356" s="197"/>
      <c r="B356" s="2095" t="s">
        <v>99</v>
      </c>
      <c r="C356" s="2096"/>
      <c r="D356" s="2096"/>
      <c r="E356" s="2097"/>
      <c r="F356" s="198"/>
    </row>
    <row r="357" spans="1:8" ht="25.5">
      <c r="A357" s="160" t="s">
        <v>61</v>
      </c>
      <c r="B357" s="105" t="s">
        <v>100</v>
      </c>
      <c r="C357" s="298" t="s">
        <v>101</v>
      </c>
      <c r="D357" s="2098" t="s">
        <v>62</v>
      </c>
      <c r="E357" s="2098"/>
      <c r="F357" s="161" t="s">
        <v>102</v>
      </c>
    </row>
    <row r="358" spans="1:8" ht="25.5">
      <c r="A358" s="227">
        <v>44707</v>
      </c>
      <c r="B358" s="208" t="s">
        <v>2338</v>
      </c>
      <c r="C358" s="206">
        <v>581.09</v>
      </c>
      <c r="D358" s="2099" t="s">
        <v>2214</v>
      </c>
      <c r="E358" s="2100"/>
      <c r="F358" s="142" t="s">
        <v>2215</v>
      </c>
    </row>
    <row r="359" spans="1:8" ht="25.5">
      <c r="A359" s="227">
        <v>44707</v>
      </c>
      <c r="B359" s="208" t="s">
        <v>2322</v>
      </c>
      <c r="C359" s="206">
        <v>265.5</v>
      </c>
      <c r="D359" s="2099" t="s">
        <v>2323</v>
      </c>
      <c r="E359" s="2100"/>
      <c r="F359" s="142" t="s">
        <v>2324</v>
      </c>
    </row>
    <row r="360" spans="1:8" ht="25.5">
      <c r="A360" s="227">
        <v>44707</v>
      </c>
      <c r="B360" s="208" t="s">
        <v>2335</v>
      </c>
      <c r="C360" s="206">
        <v>182.02</v>
      </c>
      <c r="D360" s="2099" t="s">
        <v>2337</v>
      </c>
      <c r="E360" s="2100"/>
      <c r="F360" s="142" t="s">
        <v>2336</v>
      </c>
    </row>
    <row r="361" spans="1:8" ht="15.75" thickBot="1">
      <c r="A361" s="143"/>
      <c r="B361" s="316" t="s">
        <v>63</v>
      </c>
      <c r="C361" s="144">
        <f>MEDIAN(C358:C360)</f>
        <v>265.5</v>
      </c>
      <c r="D361" s="2103"/>
      <c r="E361" s="2104"/>
      <c r="F361" s="145"/>
    </row>
    <row r="362" spans="1:8" ht="42.75" customHeight="1" thickBot="1">
      <c r="A362" s="1520" t="s">
        <v>2320</v>
      </c>
      <c r="B362" s="1521" t="s">
        <v>2321</v>
      </c>
      <c r="C362" s="2101"/>
      <c r="D362" s="2101"/>
      <c r="E362" s="2102"/>
      <c r="F362" s="1519"/>
    </row>
    <row r="363" spans="1:8" ht="15.75" thickBot="1"/>
    <row r="364" spans="1:8" ht="25.5">
      <c r="A364" s="424" t="s">
        <v>1583</v>
      </c>
      <c r="B364" s="685" t="s">
        <v>1729</v>
      </c>
      <c r="C364" s="759"/>
      <c r="D364" s="814" t="s">
        <v>1731</v>
      </c>
      <c r="E364" s="761"/>
      <c r="F364" s="762"/>
    </row>
    <row r="365" spans="1:8" ht="15" customHeight="1">
      <c r="A365" s="2117" t="s">
        <v>1730</v>
      </c>
      <c r="B365" s="2118"/>
      <c r="C365" s="2118"/>
      <c r="D365" s="2118"/>
      <c r="E365" s="2118"/>
      <c r="F365" s="2119"/>
      <c r="H365" s="1358" t="s">
        <v>489</v>
      </c>
    </row>
    <row r="366" spans="1:8" ht="30">
      <c r="A366" s="1308"/>
      <c r="B366" s="1319" t="s">
        <v>58</v>
      </c>
      <c r="C366" s="92" t="s">
        <v>51</v>
      </c>
      <c r="D366" s="93" t="s">
        <v>52</v>
      </c>
      <c r="E366" s="264" t="s">
        <v>64</v>
      </c>
      <c r="F366" s="1309" t="s">
        <v>54</v>
      </c>
    </row>
    <row r="367" spans="1:8">
      <c r="A367" s="1312"/>
      <c r="B367" s="763"/>
      <c r="C367" s="97"/>
      <c r="D367" s="231"/>
      <c r="E367" s="228"/>
      <c r="F367" s="1311">
        <f>TRUNC((D367*E367),2)</f>
        <v>0</v>
      </c>
    </row>
    <row r="368" spans="1:8">
      <c r="A368" s="1364"/>
      <c r="B368" s="1313"/>
      <c r="C368" s="32" t="s">
        <v>43</v>
      </c>
      <c r="D368" s="98" t="s">
        <v>43</v>
      </c>
      <c r="E368" s="299" t="s">
        <v>60</v>
      </c>
      <c r="F368" s="1314">
        <f>SUM(F367:F367)</f>
        <v>0</v>
      </c>
    </row>
    <row r="369" spans="1:8" ht="30">
      <c r="A369" s="1364"/>
      <c r="B369" s="1319" t="s">
        <v>98</v>
      </c>
      <c r="C369" s="92" t="s">
        <v>51</v>
      </c>
      <c r="D369" s="93" t="s">
        <v>52</v>
      </c>
      <c r="E369" s="264" t="s">
        <v>64</v>
      </c>
      <c r="F369" s="1309" t="s">
        <v>54</v>
      </c>
    </row>
    <row r="370" spans="1:8">
      <c r="A370" s="358" t="s">
        <v>67</v>
      </c>
      <c r="B370" s="208" t="s">
        <v>344</v>
      </c>
      <c r="C370" s="97" t="s">
        <v>57</v>
      </c>
      <c r="D370" s="393">
        <v>1</v>
      </c>
      <c r="E370" s="228">
        <v>8500</v>
      </c>
      <c r="F370" s="1311">
        <f>TRUNC((D370*E370),2)</f>
        <v>8500</v>
      </c>
    </row>
    <row r="371" spans="1:8">
      <c r="A371" s="138"/>
      <c r="B371" s="194"/>
      <c r="C371" s="146"/>
      <c r="D371" s="195"/>
      <c r="E371" s="299" t="s">
        <v>60</v>
      </c>
      <c r="F371" s="408">
        <f>SUM(F370:F370)</f>
        <v>8500</v>
      </c>
    </row>
    <row r="372" spans="1:8" ht="15.75" thickBot="1">
      <c r="A372" s="1377"/>
      <c r="B372" s="2126" t="s">
        <v>55</v>
      </c>
      <c r="C372" s="2127"/>
      <c r="D372" s="2127"/>
      <c r="E372" s="2128"/>
      <c r="F372" s="1378">
        <f>F368+F371</f>
        <v>8500</v>
      </c>
    </row>
    <row r="373" spans="1:8">
      <c r="A373" s="473"/>
      <c r="B373" s="2120" t="s">
        <v>99</v>
      </c>
      <c r="C373" s="2121"/>
      <c r="D373" s="2121"/>
      <c r="E373" s="2122"/>
      <c r="F373" s="474"/>
    </row>
    <row r="374" spans="1:8" ht="25.5">
      <c r="A374" s="160" t="s">
        <v>61</v>
      </c>
      <c r="B374" s="105" t="s">
        <v>100</v>
      </c>
      <c r="C374" s="298" t="s">
        <v>101</v>
      </c>
      <c r="D374" s="2098" t="s">
        <v>62</v>
      </c>
      <c r="E374" s="2098"/>
      <c r="F374" s="161" t="s">
        <v>102</v>
      </c>
    </row>
    <row r="375" spans="1:8" ht="25.5">
      <c r="A375" s="227">
        <v>44708</v>
      </c>
      <c r="B375" s="208" t="s">
        <v>2224</v>
      </c>
      <c r="C375" s="206">
        <v>15890</v>
      </c>
      <c r="D375" s="2099" t="s">
        <v>2229</v>
      </c>
      <c r="E375" s="2100"/>
      <c r="F375" s="142" t="s">
        <v>2230</v>
      </c>
    </row>
    <row r="376" spans="1:8" ht="25.5">
      <c r="A376" s="227">
        <v>44708</v>
      </c>
      <c r="B376" s="1440" t="s">
        <v>2232</v>
      </c>
      <c r="C376" s="1441">
        <v>8500</v>
      </c>
      <c r="D376" s="2114" t="s">
        <v>2361</v>
      </c>
      <c r="E376" s="2115"/>
      <c r="F376" s="1442" t="s">
        <v>2231</v>
      </c>
      <c r="H376" s="468"/>
    </row>
    <row r="377" spans="1:8" ht="30">
      <c r="A377" s="227">
        <v>44708</v>
      </c>
      <c r="B377" s="411" t="s">
        <v>2240</v>
      </c>
      <c r="C377" s="206">
        <v>5800</v>
      </c>
      <c r="D377" s="2158" t="s">
        <v>2241</v>
      </c>
      <c r="E377" s="2158"/>
      <c r="F377" s="1360" t="s">
        <v>2242</v>
      </c>
    </row>
    <row r="378" spans="1:8" ht="15.75" thickBot="1">
      <c r="A378" s="143"/>
      <c r="B378" s="316" t="s">
        <v>63</v>
      </c>
      <c r="C378" s="144">
        <f>MEDIAN(C375:C377)</f>
        <v>8500</v>
      </c>
      <c r="D378" s="2103"/>
      <c r="E378" s="2104"/>
      <c r="F378" s="145"/>
    </row>
    <row r="379" spans="1:8" ht="15.75" thickBot="1"/>
    <row r="380" spans="1:8" ht="12.75" customHeight="1">
      <c r="A380" s="424" t="s">
        <v>1584</v>
      </c>
      <c r="B380" s="685" t="s">
        <v>2205</v>
      </c>
      <c r="C380" s="759" t="s">
        <v>1731</v>
      </c>
      <c r="D380" s="760"/>
      <c r="E380" s="761"/>
      <c r="F380" s="762"/>
    </row>
    <row r="381" spans="1:8" ht="15.75">
      <c r="A381" s="2117" t="s">
        <v>2228</v>
      </c>
      <c r="B381" s="2129"/>
      <c r="C381" s="2129"/>
      <c r="D381" s="2129"/>
      <c r="E381" s="2129"/>
      <c r="F381" s="2119"/>
      <c r="H381" s="1358" t="s">
        <v>489</v>
      </c>
    </row>
    <row r="382" spans="1:8" ht="30">
      <c r="A382" s="1308"/>
      <c r="B382" s="1319" t="s">
        <v>58</v>
      </c>
      <c r="C382" s="92" t="s">
        <v>51</v>
      </c>
      <c r="D382" s="93" t="s">
        <v>52</v>
      </c>
      <c r="E382" s="264" t="s">
        <v>64</v>
      </c>
      <c r="F382" s="1309" t="s">
        <v>54</v>
      </c>
    </row>
    <row r="383" spans="1:8">
      <c r="A383" s="1312"/>
      <c r="B383" s="1483"/>
      <c r="C383" s="1420"/>
      <c r="D383" s="1484"/>
      <c r="E383" s="1422"/>
      <c r="F383" s="1311">
        <f>TRUNC((D383*E383),2)</f>
        <v>0</v>
      </c>
    </row>
    <row r="384" spans="1:8">
      <c r="A384" s="95"/>
      <c r="B384" s="96"/>
      <c r="C384" s="32" t="s">
        <v>43</v>
      </c>
      <c r="D384" s="98" t="s">
        <v>43</v>
      </c>
      <c r="E384" s="299" t="s">
        <v>60</v>
      </c>
      <c r="F384" s="408">
        <f>SUM(F383:F383)</f>
        <v>0</v>
      </c>
    </row>
    <row r="385" spans="1:9" ht="30">
      <c r="A385" s="1364"/>
      <c r="B385" s="1319" t="s">
        <v>98</v>
      </c>
      <c r="C385" s="92" t="s">
        <v>51</v>
      </c>
      <c r="D385" s="93" t="s">
        <v>52</v>
      </c>
      <c r="E385" s="264" t="s">
        <v>64</v>
      </c>
      <c r="F385" s="1309" t="s">
        <v>54</v>
      </c>
    </row>
    <row r="386" spans="1:9" ht="25.5" customHeight="1">
      <c r="A386" s="358" t="s">
        <v>67</v>
      </c>
      <c r="B386" s="208" t="s">
        <v>2205</v>
      </c>
      <c r="C386" s="97" t="s">
        <v>57</v>
      </c>
      <c r="D386" s="393">
        <v>1</v>
      </c>
      <c r="E386" s="228">
        <v>6500</v>
      </c>
      <c r="F386" s="1311">
        <f>TRUNC((D386*E386),2)</f>
        <v>6500</v>
      </c>
    </row>
    <row r="387" spans="1:9">
      <c r="A387" s="138"/>
      <c r="B387" s="194"/>
      <c r="C387" s="146"/>
      <c r="D387" s="195"/>
      <c r="E387" s="299" t="s">
        <v>60</v>
      </c>
      <c r="F387" s="408">
        <f>SUM(F386:F386)</f>
        <v>6500</v>
      </c>
    </row>
    <row r="388" spans="1:9" ht="15.75" thickBot="1">
      <c r="A388" s="1377"/>
      <c r="B388" s="2126" t="s">
        <v>55</v>
      </c>
      <c r="C388" s="2127"/>
      <c r="D388" s="2127"/>
      <c r="E388" s="2128"/>
      <c r="F388" s="1378">
        <f>F384+F387</f>
        <v>6500</v>
      </c>
    </row>
    <row r="389" spans="1:9">
      <c r="A389" s="473"/>
      <c r="B389" s="2120" t="s">
        <v>99</v>
      </c>
      <c r="C389" s="2121"/>
      <c r="D389" s="2121"/>
      <c r="E389" s="2122"/>
      <c r="F389" s="474"/>
    </row>
    <row r="390" spans="1:9" ht="25.5">
      <c r="A390" s="160" t="s">
        <v>61</v>
      </c>
      <c r="B390" s="105" t="s">
        <v>100</v>
      </c>
      <c r="C390" s="298" t="s">
        <v>101</v>
      </c>
      <c r="D390" s="2098" t="s">
        <v>62</v>
      </c>
      <c r="E390" s="2098"/>
      <c r="F390" s="161" t="s">
        <v>102</v>
      </c>
    </row>
    <row r="391" spans="1:9" ht="25.5">
      <c r="A391" s="227">
        <v>44708</v>
      </c>
      <c r="B391" s="208" t="s">
        <v>2185</v>
      </c>
      <c r="C391" s="206">
        <v>4990</v>
      </c>
      <c r="D391" s="2099" t="s">
        <v>2186</v>
      </c>
      <c r="E391" s="2100"/>
      <c r="F391" s="142" t="s">
        <v>2360</v>
      </c>
      <c r="H391" s="1527"/>
    </row>
    <row r="392" spans="1:9" ht="26.25" thickBot="1">
      <c r="A392" s="1379">
        <v>44708</v>
      </c>
      <c r="B392" s="1380" t="s">
        <v>2187</v>
      </c>
      <c r="C392" s="1381">
        <v>9879</v>
      </c>
      <c r="D392" s="2110" t="s">
        <v>2208</v>
      </c>
      <c r="E392" s="2111"/>
      <c r="F392" s="1403" t="s">
        <v>2409</v>
      </c>
      <c r="H392" s="1353"/>
      <c r="I392" s="815"/>
    </row>
    <row r="393" spans="1:9" ht="26.25" thickBot="1">
      <c r="A393" s="1485">
        <v>44708</v>
      </c>
      <c r="B393" s="1486" t="s">
        <v>2204</v>
      </c>
      <c r="C393" s="1487">
        <v>6500</v>
      </c>
      <c r="D393" s="2179" t="s">
        <v>2222</v>
      </c>
      <c r="E393" s="2180"/>
      <c r="F393" s="1357" t="s">
        <v>2223</v>
      </c>
    </row>
    <row r="394" spans="1:9" ht="15.75" thickBot="1">
      <c r="A394" s="1383"/>
      <c r="B394" s="1384" t="s">
        <v>63</v>
      </c>
      <c r="C394" s="1385">
        <f>MEDIAN(C391:C393)</f>
        <v>6500</v>
      </c>
      <c r="D394" s="2168"/>
      <c r="E394" s="2169"/>
      <c r="F394" s="1386"/>
    </row>
    <row r="395" spans="1:9" ht="15.75" thickBot="1"/>
    <row r="396" spans="1:9" ht="23.25" customHeight="1">
      <c r="A396" s="424" t="s">
        <v>1736</v>
      </c>
      <c r="B396" s="422" t="s">
        <v>2252</v>
      </c>
      <c r="C396" s="759" t="s">
        <v>1731</v>
      </c>
      <c r="D396" s="760"/>
      <c r="E396" s="761"/>
      <c r="F396" s="762"/>
    </row>
    <row r="397" spans="1:9" ht="15.75">
      <c r="A397" s="2117" t="s">
        <v>2250</v>
      </c>
      <c r="B397" s="2118"/>
      <c r="C397" s="2118"/>
      <c r="D397" s="2118"/>
      <c r="E397" s="2118"/>
      <c r="F397" s="2119"/>
      <c r="H397" s="1358" t="s">
        <v>489</v>
      </c>
    </row>
    <row r="398" spans="1:9" ht="30">
      <c r="A398" s="1308"/>
      <c r="B398" s="1319" t="s">
        <v>58</v>
      </c>
      <c r="C398" s="92" t="s">
        <v>51</v>
      </c>
      <c r="D398" s="93" t="s">
        <v>52</v>
      </c>
      <c r="E398" s="264" t="s">
        <v>64</v>
      </c>
      <c r="F398" s="1309" t="s">
        <v>54</v>
      </c>
    </row>
    <row r="399" spans="1:9">
      <c r="A399" s="1312"/>
      <c r="B399" s="763"/>
      <c r="C399" s="97"/>
      <c r="D399" s="231"/>
      <c r="E399" s="228"/>
      <c r="F399" s="1311">
        <f>TRUNC((D399*E399),2)</f>
        <v>0</v>
      </c>
      <c r="H399" s="324" t="s">
        <v>2188</v>
      </c>
    </row>
    <row r="400" spans="1:9">
      <c r="A400" s="1364"/>
      <c r="B400" s="1313"/>
      <c r="C400" s="32" t="s">
        <v>43</v>
      </c>
      <c r="D400" s="98" t="s">
        <v>43</v>
      </c>
      <c r="E400" s="299" t="s">
        <v>60</v>
      </c>
      <c r="F400" s="1314">
        <f>SUM(F399:F399)</f>
        <v>0</v>
      </c>
      <c r="H400" s="324" t="s">
        <v>2189</v>
      </c>
    </row>
    <row r="401" spans="1:9" ht="30">
      <c r="A401" s="1364"/>
      <c r="B401" s="1319" t="s">
        <v>98</v>
      </c>
      <c r="C401" s="92" t="s">
        <v>51</v>
      </c>
      <c r="D401" s="93" t="s">
        <v>52</v>
      </c>
      <c r="E401" s="264" t="s">
        <v>64</v>
      </c>
      <c r="F401" s="1309" t="s">
        <v>54</v>
      </c>
    </row>
    <row r="402" spans="1:9" ht="25.5">
      <c r="A402" s="358" t="s">
        <v>67</v>
      </c>
      <c r="B402" s="208" t="s">
        <v>2251</v>
      </c>
      <c r="C402" s="97" t="s">
        <v>57</v>
      </c>
      <c r="D402" s="393">
        <v>1</v>
      </c>
      <c r="E402" s="228">
        <v>7680</v>
      </c>
      <c r="F402" s="1311">
        <f>TRUNC((D402*E402),2)</f>
        <v>7680</v>
      </c>
    </row>
    <row r="403" spans="1:9">
      <c r="A403" s="138"/>
      <c r="B403" s="194"/>
      <c r="C403" s="146"/>
      <c r="D403" s="195"/>
      <c r="E403" s="299" t="s">
        <v>60</v>
      </c>
      <c r="F403" s="408">
        <f>SUM(F402:F402)</f>
        <v>7680</v>
      </c>
    </row>
    <row r="404" spans="1:9" ht="15.75" thickBot="1">
      <c r="A404" s="1377"/>
      <c r="B404" s="2126" t="s">
        <v>55</v>
      </c>
      <c r="C404" s="2127"/>
      <c r="D404" s="2127"/>
      <c r="E404" s="2128"/>
      <c r="F404" s="1378">
        <f>F400+F403</f>
        <v>7680</v>
      </c>
    </row>
    <row r="405" spans="1:9">
      <c r="A405" s="197"/>
      <c r="B405" s="2095" t="s">
        <v>99</v>
      </c>
      <c r="C405" s="2096"/>
      <c r="D405" s="2096"/>
      <c r="E405" s="2097"/>
      <c r="F405" s="198"/>
    </row>
    <row r="406" spans="1:9" ht="25.5">
      <c r="A406" s="160" t="s">
        <v>61</v>
      </c>
      <c r="B406" s="105" t="s">
        <v>100</v>
      </c>
      <c r="C406" s="298" t="s">
        <v>101</v>
      </c>
      <c r="D406" s="2098" t="s">
        <v>62</v>
      </c>
      <c r="E406" s="2098"/>
      <c r="F406" s="161" t="s">
        <v>102</v>
      </c>
    </row>
    <row r="407" spans="1:9" ht="25.5">
      <c r="A407" s="227">
        <v>44707</v>
      </c>
      <c r="B407" s="208" t="s">
        <v>1737</v>
      </c>
      <c r="C407" s="206">
        <v>7680</v>
      </c>
      <c r="D407" s="2099" t="s">
        <v>2209</v>
      </c>
      <c r="E407" s="2100"/>
      <c r="F407" s="142" t="s">
        <v>1738</v>
      </c>
      <c r="H407" s="1528" t="s">
        <v>2358</v>
      </c>
    </row>
    <row r="408" spans="1:9" ht="25.5">
      <c r="A408" s="227">
        <v>44707</v>
      </c>
      <c r="B408" s="208" t="s">
        <v>2247</v>
      </c>
      <c r="C408" s="206">
        <v>2200</v>
      </c>
      <c r="D408" s="2099" t="s">
        <v>2246</v>
      </c>
      <c r="E408" s="2100"/>
      <c r="F408" s="142" t="s">
        <v>2359</v>
      </c>
      <c r="H408" s="1418" t="s">
        <v>2256</v>
      </c>
      <c r="I408" s="1450"/>
    </row>
    <row r="409" spans="1:9" ht="25.5">
      <c r="A409" s="227">
        <v>44708</v>
      </c>
      <c r="B409" s="208" t="s">
        <v>2203</v>
      </c>
      <c r="C409" s="206">
        <v>14970</v>
      </c>
      <c r="D409" s="2099" t="s">
        <v>2248</v>
      </c>
      <c r="E409" s="2100"/>
      <c r="F409" s="142" t="s">
        <v>2249</v>
      </c>
      <c r="H409" s="815"/>
      <c r="I409" s="1443"/>
    </row>
    <row r="410" spans="1:9" ht="15.75" thickBot="1">
      <c r="A410" s="1447"/>
      <c r="B410" s="1445" t="s">
        <v>63</v>
      </c>
      <c r="C410" s="1446">
        <f>MEDIAN(C407:C409)</f>
        <v>7680</v>
      </c>
      <c r="D410" s="2176"/>
      <c r="E410" s="2177"/>
      <c r="F410" s="1448"/>
    </row>
    <row r="411" spans="1:9" ht="18.75" customHeight="1" thickBot="1">
      <c r="A411" s="1444"/>
      <c r="B411" s="1488" t="s">
        <v>2253</v>
      </c>
      <c r="C411" s="2170" t="s">
        <v>2254</v>
      </c>
      <c r="D411" s="2170"/>
      <c r="E411" s="2170"/>
      <c r="F411" s="1489" t="s">
        <v>2255</v>
      </c>
    </row>
    <row r="412" spans="1:9" ht="15.75" thickBot="1"/>
    <row r="413" spans="1:9" ht="25.5">
      <c r="A413" s="424" t="s">
        <v>1739</v>
      </c>
      <c r="B413" s="422" t="s">
        <v>1740</v>
      </c>
      <c r="C413" s="759" t="s">
        <v>49</v>
      </c>
      <c r="D413" s="760"/>
      <c r="E413" s="761"/>
      <c r="F413" s="762"/>
    </row>
    <row r="414" spans="1:9" ht="15.75">
      <c r="A414" s="2117" t="s">
        <v>1742</v>
      </c>
      <c r="B414" s="2118"/>
      <c r="C414" s="2118"/>
      <c r="D414" s="2118"/>
      <c r="E414" s="2118"/>
      <c r="F414" s="2119"/>
      <c r="H414" s="1358" t="s">
        <v>489</v>
      </c>
    </row>
    <row r="415" spans="1:9" ht="30">
      <c r="A415" s="1308"/>
      <c r="B415" s="1319" t="s">
        <v>58</v>
      </c>
      <c r="C415" s="92" t="s">
        <v>51</v>
      </c>
      <c r="D415" s="93" t="s">
        <v>52</v>
      </c>
      <c r="E415" s="264" t="s">
        <v>64</v>
      </c>
      <c r="F415" s="1309" t="s">
        <v>54</v>
      </c>
    </row>
    <row r="416" spans="1:9">
      <c r="A416" s="1310">
        <v>88316</v>
      </c>
      <c r="B416" s="1320" t="s">
        <v>68</v>
      </c>
      <c r="C416" s="97" t="s">
        <v>59</v>
      </c>
      <c r="D416" s="231">
        <v>2.5</v>
      </c>
      <c r="E416" s="228">
        <v>17.82</v>
      </c>
      <c r="F416" s="1311">
        <f>TRUNC((D416*E416),2)</f>
        <v>44.55</v>
      </c>
    </row>
    <row r="417" spans="1:8">
      <c r="A417" s="1364"/>
      <c r="B417" s="1313"/>
      <c r="C417" s="32" t="s">
        <v>43</v>
      </c>
      <c r="D417" s="98" t="s">
        <v>43</v>
      </c>
      <c r="E417" s="299" t="s">
        <v>60</v>
      </c>
      <c r="F417" s="1314">
        <f>SUM(F416:F416)</f>
        <v>44.55</v>
      </c>
    </row>
    <row r="418" spans="1:8" ht="30">
      <c r="A418" s="1364"/>
      <c r="B418" s="1319" t="s">
        <v>98</v>
      </c>
      <c r="C418" s="92" t="s">
        <v>51</v>
      </c>
      <c r="D418" s="93" t="s">
        <v>52</v>
      </c>
      <c r="E418" s="264" t="s">
        <v>64</v>
      </c>
      <c r="F418" s="1309" t="s">
        <v>54</v>
      </c>
    </row>
    <row r="419" spans="1:8">
      <c r="A419" s="358">
        <v>7253</v>
      </c>
      <c r="B419" s="208" t="s">
        <v>1743</v>
      </c>
      <c r="C419" s="97" t="s">
        <v>49</v>
      </c>
      <c r="D419" s="393">
        <v>1</v>
      </c>
      <c r="E419" s="228">
        <v>152.13999999999999</v>
      </c>
      <c r="F419" s="1311">
        <f>TRUNC((D419*E419),2)</f>
        <v>152.13999999999999</v>
      </c>
    </row>
    <row r="420" spans="1:8">
      <c r="A420" s="138"/>
      <c r="B420" s="194"/>
      <c r="C420" s="146"/>
      <c r="D420" s="195"/>
      <c r="E420" s="299" t="s">
        <v>60</v>
      </c>
      <c r="F420" s="408">
        <f>SUM(F419:F419)</f>
        <v>152.13999999999999</v>
      </c>
    </row>
    <row r="421" spans="1:8" ht="15.75" thickBot="1">
      <c r="A421" s="1377"/>
      <c r="B421" s="2126" t="s">
        <v>55</v>
      </c>
      <c r="C421" s="2127"/>
      <c r="D421" s="2127"/>
      <c r="E421" s="2128"/>
      <c r="F421" s="1378">
        <f>F417+F420</f>
        <v>196.69</v>
      </c>
    </row>
    <row r="422" spans="1:8" ht="15.75" thickBot="1"/>
    <row r="423" spans="1:8" ht="25.5">
      <c r="A423" s="424" t="s">
        <v>1748</v>
      </c>
      <c r="B423" s="422" t="s">
        <v>1749</v>
      </c>
      <c r="C423" s="759" t="s">
        <v>48</v>
      </c>
      <c r="D423" s="760"/>
      <c r="E423" s="761"/>
      <c r="F423" s="762"/>
    </row>
    <row r="424" spans="1:8" ht="15.75">
      <c r="A424" s="2117" t="s">
        <v>1753</v>
      </c>
      <c r="B424" s="2118"/>
      <c r="C424" s="2118"/>
      <c r="D424" s="2118"/>
      <c r="E424" s="2118"/>
      <c r="F424" s="2119"/>
      <c r="H424" s="1358" t="s">
        <v>489</v>
      </c>
    </row>
    <row r="425" spans="1:8" ht="30">
      <c r="A425" s="1308"/>
      <c r="B425" s="1319" t="s">
        <v>58</v>
      </c>
      <c r="C425" s="92" t="s">
        <v>51</v>
      </c>
      <c r="D425" s="93" t="s">
        <v>52</v>
      </c>
      <c r="E425" s="264" t="s">
        <v>64</v>
      </c>
      <c r="F425" s="1309" t="s">
        <v>54</v>
      </c>
    </row>
    <row r="426" spans="1:8" ht="25.5">
      <c r="A426" s="391">
        <v>88256</v>
      </c>
      <c r="B426" s="1404" t="s">
        <v>1541</v>
      </c>
      <c r="C426" s="97" t="s">
        <v>59</v>
      </c>
      <c r="D426" s="231">
        <v>1.7</v>
      </c>
      <c r="E426" s="228">
        <v>22.32</v>
      </c>
      <c r="F426" s="1311">
        <f>TRUNC((D426*E426),2)</f>
        <v>37.94</v>
      </c>
    </row>
    <row r="427" spans="1:8">
      <c r="A427" s="391">
        <v>88309</v>
      </c>
      <c r="B427" s="1404" t="s">
        <v>107</v>
      </c>
      <c r="C427" s="97" t="s">
        <v>59</v>
      </c>
      <c r="D427" s="231">
        <v>0.6</v>
      </c>
      <c r="E427" s="228">
        <v>22.41</v>
      </c>
      <c r="F427" s="1311">
        <f>TRUNC((D427*E427),2)</f>
        <v>13.44</v>
      </c>
    </row>
    <row r="428" spans="1:8">
      <c r="A428" s="1310">
        <v>88316</v>
      </c>
      <c r="B428" s="1320" t="s">
        <v>68</v>
      </c>
      <c r="C428" s="97" t="s">
        <v>59</v>
      </c>
      <c r="D428" s="231">
        <v>1.8</v>
      </c>
      <c r="E428" s="228">
        <v>17.82</v>
      </c>
      <c r="F428" s="1311">
        <f>TRUNC((D428*E428),2)</f>
        <v>32.07</v>
      </c>
    </row>
    <row r="429" spans="1:8">
      <c r="A429" s="1364"/>
      <c r="B429" s="1313"/>
      <c r="C429" s="32" t="s">
        <v>43</v>
      </c>
      <c r="D429" s="98" t="s">
        <v>43</v>
      </c>
      <c r="E429" s="299" t="s">
        <v>60</v>
      </c>
      <c r="F429" s="1314">
        <f>SUM(F426:F428)</f>
        <v>83.449999999999989</v>
      </c>
    </row>
    <row r="430" spans="1:8" ht="30">
      <c r="A430" s="1364"/>
      <c r="B430" s="1319" t="s">
        <v>98</v>
      </c>
      <c r="C430" s="92" t="s">
        <v>51</v>
      </c>
      <c r="D430" s="93" t="s">
        <v>52</v>
      </c>
      <c r="E430" s="264" t="s">
        <v>64</v>
      </c>
      <c r="F430" s="1309" t="s">
        <v>54</v>
      </c>
    </row>
    <row r="431" spans="1:8" ht="25.5">
      <c r="A431" s="358">
        <v>370</v>
      </c>
      <c r="B431" s="208" t="s">
        <v>434</v>
      </c>
      <c r="C431" s="97" t="s">
        <v>49</v>
      </c>
      <c r="D431" s="524">
        <v>2.1000000000000001E-2</v>
      </c>
      <c r="E431" s="228">
        <v>105.05</v>
      </c>
      <c r="F431" s="1311">
        <f t="shared" ref="F431:F436" si="1">TRUNC((D431*E431),2)</f>
        <v>2.2000000000000002</v>
      </c>
    </row>
    <row r="432" spans="1:8">
      <c r="A432" s="358">
        <v>1106</v>
      </c>
      <c r="B432" s="208" t="s">
        <v>569</v>
      </c>
      <c r="C432" s="97" t="s">
        <v>104</v>
      </c>
      <c r="D432" s="524">
        <v>4.6399999999999997</v>
      </c>
      <c r="E432" s="228">
        <v>0.9</v>
      </c>
      <c r="F432" s="1311">
        <f t="shared" si="1"/>
        <v>4.17</v>
      </c>
    </row>
    <row r="433" spans="1:8" ht="25.5">
      <c r="A433" s="358">
        <v>34361</v>
      </c>
      <c r="B433" s="208" t="s">
        <v>1751</v>
      </c>
      <c r="C433" s="97" t="s">
        <v>104</v>
      </c>
      <c r="D433" s="524">
        <v>1.34</v>
      </c>
      <c r="E433" s="228">
        <v>12.8</v>
      </c>
      <c r="F433" s="1311">
        <f t="shared" si="1"/>
        <v>17.149999999999999</v>
      </c>
    </row>
    <row r="434" spans="1:8">
      <c r="A434" s="358">
        <v>13284</v>
      </c>
      <c r="B434" s="208" t="s">
        <v>2118</v>
      </c>
      <c r="C434" s="97" t="s">
        <v>104</v>
      </c>
      <c r="D434" s="393">
        <v>2.2200000000000002</v>
      </c>
      <c r="E434" s="228">
        <v>0.78</v>
      </c>
      <c r="F434" s="1311">
        <f t="shared" si="1"/>
        <v>1.73</v>
      </c>
    </row>
    <row r="435" spans="1:8">
      <c r="A435" s="358">
        <v>1380</v>
      </c>
      <c r="B435" s="208" t="s">
        <v>1752</v>
      </c>
      <c r="C435" s="97" t="s">
        <v>104</v>
      </c>
      <c r="D435" s="393">
        <v>2.5</v>
      </c>
      <c r="E435" s="228">
        <v>2.4500000000000002</v>
      </c>
      <c r="F435" s="1311">
        <f t="shared" si="1"/>
        <v>6.12</v>
      </c>
    </row>
    <row r="436" spans="1:8" ht="38.25">
      <c r="A436" s="358">
        <v>11795</v>
      </c>
      <c r="B436" s="208" t="s">
        <v>1750</v>
      </c>
      <c r="C436" s="97" t="s">
        <v>48</v>
      </c>
      <c r="D436" s="393">
        <v>1.05</v>
      </c>
      <c r="E436" s="228">
        <v>581.13</v>
      </c>
      <c r="F436" s="1311">
        <f t="shared" si="1"/>
        <v>610.17999999999995</v>
      </c>
    </row>
    <row r="437" spans="1:8" ht="15.75" thickBot="1">
      <c r="A437" s="210"/>
      <c r="B437" s="1431"/>
      <c r="C437" s="124"/>
      <c r="D437" s="1432"/>
      <c r="E437" s="1433" t="s">
        <v>60</v>
      </c>
      <c r="F437" s="1434">
        <f>SUM(F431:F436)</f>
        <v>641.54999999999995</v>
      </c>
    </row>
    <row r="438" spans="1:8" ht="15.75" thickBot="1">
      <c r="A438" s="192"/>
      <c r="B438" s="2166" t="s">
        <v>55</v>
      </c>
      <c r="C438" s="2167"/>
      <c r="D438" s="2167"/>
      <c r="E438" s="2167"/>
      <c r="F438" s="526">
        <f>F429+F437</f>
        <v>725</v>
      </c>
    </row>
    <row r="439" spans="1:8" ht="15.75" thickBot="1"/>
    <row r="440" spans="1:8" ht="28.5" customHeight="1">
      <c r="A440" s="151" t="s">
        <v>2115</v>
      </c>
      <c r="B440" s="346" t="s">
        <v>2116</v>
      </c>
      <c r="C440" s="152" t="s">
        <v>48</v>
      </c>
      <c r="D440" s="153"/>
      <c r="E440" s="154"/>
      <c r="F440" s="246"/>
    </row>
    <row r="441" spans="1:8" ht="15.75">
      <c r="A441" s="2105" t="s">
        <v>2117</v>
      </c>
      <c r="B441" s="2106"/>
      <c r="C441" s="2106"/>
      <c r="D441" s="2106"/>
      <c r="E441" s="2106"/>
      <c r="F441" s="2107"/>
      <c r="H441" s="1358" t="s">
        <v>489</v>
      </c>
    </row>
    <row r="442" spans="1:8" ht="30">
      <c r="A442" s="1308"/>
      <c r="B442" s="1319" t="s">
        <v>58</v>
      </c>
      <c r="C442" s="92" t="s">
        <v>51</v>
      </c>
      <c r="D442" s="93" t="s">
        <v>52</v>
      </c>
      <c r="E442" s="105" t="s">
        <v>64</v>
      </c>
      <c r="F442" s="1309" t="s">
        <v>54</v>
      </c>
    </row>
    <row r="443" spans="1:8">
      <c r="A443" s="1310">
        <v>88316</v>
      </c>
      <c r="B443" s="1320" t="s">
        <v>68</v>
      </c>
      <c r="C443" s="97" t="s">
        <v>59</v>
      </c>
      <c r="D443" s="232">
        <v>3.3330000000000002</v>
      </c>
      <c r="E443" s="228">
        <v>17.82</v>
      </c>
      <c r="F443" s="1311">
        <f>TRUNC((D443*E443),2)</f>
        <v>59.39</v>
      </c>
    </row>
    <row r="444" spans="1:8">
      <c r="A444" s="391">
        <v>88309</v>
      </c>
      <c r="B444" s="1404" t="s">
        <v>107</v>
      </c>
      <c r="C444" s="97" t="s">
        <v>59</v>
      </c>
      <c r="D444" s="232">
        <v>3.3330000000000002</v>
      </c>
      <c r="E444" s="206">
        <v>22.41</v>
      </c>
      <c r="F444" s="1311">
        <f>TRUNC((D444*E444),2)</f>
        <v>74.69</v>
      </c>
    </row>
    <row r="445" spans="1:8" ht="15.75" thickBot="1">
      <c r="A445" s="1365"/>
      <c r="B445" s="1467"/>
      <c r="C445" s="1468" t="s">
        <v>43</v>
      </c>
      <c r="D445" s="1469" t="s">
        <v>43</v>
      </c>
      <c r="E445" s="1433" t="s">
        <v>60</v>
      </c>
      <c r="F445" s="525">
        <f>SUM(F443:F444)</f>
        <v>134.07999999999998</v>
      </c>
    </row>
    <row r="446" spans="1:8" ht="30">
      <c r="A446" s="1371"/>
      <c r="B446" s="1490" t="s">
        <v>98</v>
      </c>
      <c r="C446" s="1470" t="s">
        <v>51</v>
      </c>
      <c r="D446" s="1471" t="s">
        <v>52</v>
      </c>
      <c r="E446" s="1472" t="s">
        <v>64</v>
      </c>
      <c r="F446" s="1491" t="s">
        <v>54</v>
      </c>
    </row>
    <row r="447" spans="1:8" ht="38.25">
      <c r="A447" s="1315">
        <v>11795</v>
      </c>
      <c r="B447" s="1419" t="s">
        <v>604</v>
      </c>
      <c r="C447" s="1321" t="s">
        <v>48</v>
      </c>
      <c r="D447" s="1438">
        <v>1</v>
      </c>
      <c r="E447" s="1422">
        <v>581.13</v>
      </c>
      <c r="F447" s="1311">
        <f>TRUNC((D447*E447),2)</f>
        <v>581.13</v>
      </c>
    </row>
    <row r="448" spans="1:8" ht="25.5">
      <c r="A448" s="358">
        <v>370</v>
      </c>
      <c r="B448" s="208" t="s">
        <v>434</v>
      </c>
      <c r="C448" s="97" t="s">
        <v>49</v>
      </c>
      <c r="D448" s="232">
        <v>8.6999999999999994E-3</v>
      </c>
      <c r="E448" s="228">
        <v>105.05</v>
      </c>
      <c r="F448" s="229">
        <f>TRUNC((D448*E448),2)</f>
        <v>0.91</v>
      </c>
    </row>
    <row r="449" spans="1:8">
      <c r="A449" s="358">
        <v>13284</v>
      </c>
      <c r="B449" s="208" t="s">
        <v>2118</v>
      </c>
      <c r="C449" s="97" t="s">
        <v>104</v>
      </c>
      <c r="D449" s="232">
        <v>1.54E-2</v>
      </c>
      <c r="E449" s="228">
        <v>0.78300000000000003</v>
      </c>
      <c r="F449" s="1311">
        <f>ROUNDUP((D449*E449),2)</f>
        <v>0.02</v>
      </c>
    </row>
    <row r="450" spans="1:8" ht="15.75" thickBot="1">
      <c r="A450" s="210"/>
      <c r="B450" s="200"/>
      <c r="C450" s="201"/>
      <c r="D450" s="233"/>
      <c r="E450" s="234" t="s">
        <v>60</v>
      </c>
      <c r="F450" s="525">
        <f>SUM(F447:F449)</f>
        <v>582.05999999999995</v>
      </c>
    </row>
    <row r="451" spans="1:8" ht="15.75" thickBot="1">
      <c r="A451" s="192"/>
      <c r="B451" s="2094" t="s">
        <v>55</v>
      </c>
      <c r="C451" s="2094"/>
      <c r="D451" s="2094"/>
      <c r="E451" s="2094"/>
      <c r="F451" s="526">
        <f>F445+F450</f>
        <v>716.13999999999987</v>
      </c>
    </row>
    <row r="452" spans="1:8" ht="15.75" thickBot="1">
      <c r="A452" s="860"/>
      <c r="B452" s="708"/>
      <c r="C452" s="301"/>
      <c r="D452" s="961"/>
      <c r="E452" s="927"/>
      <c r="F452" s="962"/>
    </row>
    <row r="453" spans="1:8" ht="27.75" customHeight="1">
      <c r="A453" s="151" t="s">
        <v>2121</v>
      </c>
      <c r="B453" s="346" t="s">
        <v>1728</v>
      </c>
      <c r="C453" s="152" t="s">
        <v>56</v>
      </c>
      <c r="D453" s="153"/>
      <c r="E453" s="154"/>
      <c r="F453" s="246"/>
      <c r="G453" s="62"/>
      <c r="H453" s="62"/>
    </row>
    <row r="454" spans="1:8" ht="15.75">
      <c r="A454" s="2105" t="s">
        <v>606</v>
      </c>
      <c r="B454" s="2106"/>
      <c r="C454" s="2106"/>
      <c r="D454" s="2106"/>
      <c r="E454" s="2106"/>
      <c r="F454" s="2107"/>
      <c r="G454" s="62"/>
      <c r="H454" s="1358" t="s">
        <v>489</v>
      </c>
    </row>
    <row r="455" spans="1:8" ht="30">
      <c r="A455" s="1308"/>
      <c r="B455" s="1435" t="s">
        <v>58</v>
      </c>
      <c r="C455" s="92" t="s">
        <v>51</v>
      </c>
      <c r="D455" s="93" t="s">
        <v>52</v>
      </c>
      <c r="E455" s="105" t="s">
        <v>64</v>
      </c>
      <c r="F455" s="1309" t="s">
        <v>54</v>
      </c>
      <c r="G455" s="62"/>
      <c r="H455" s="62"/>
    </row>
    <row r="456" spans="1:8">
      <c r="A456" s="1310">
        <v>88316</v>
      </c>
      <c r="B456" s="1404" t="s">
        <v>68</v>
      </c>
      <c r="C456" s="97" t="s">
        <v>59</v>
      </c>
      <c r="D456" s="228">
        <v>0.2</v>
      </c>
      <c r="E456" s="228">
        <v>17.82</v>
      </c>
      <c r="F456" s="1311">
        <f>TRUNC((D456*E456),2)</f>
        <v>3.56</v>
      </c>
      <c r="G456" s="62"/>
      <c r="H456" s="62"/>
    </row>
    <row r="457" spans="1:8">
      <c r="A457" s="138">
        <v>88309</v>
      </c>
      <c r="B457" s="101" t="s">
        <v>107</v>
      </c>
      <c r="C457" s="97" t="s">
        <v>59</v>
      </c>
      <c r="D457" s="228">
        <v>0.2</v>
      </c>
      <c r="E457" s="206">
        <v>22.41</v>
      </c>
      <c r="F457" s="1311">
        <f>TRUNC((D457*E457),2)</f>
        <v>4.4800000000000004</v>
      </c>
      <c r="G457" s="62"/>
      <c r="H457" s="62"/>
    </row>
    <row r="458" spans="1:8">
      <c r="A458" s="1312"/>
      <c r="B458" s="1313"/>
      <c r="C458" s="32" t="s">
        <v>43</v>
      </c>
      <c r="D458" s="98" t="s">
        <v>43</v>
      </c>
      <c r="E458" s="299" t="s">
        <v>60</v>
      </c>
      <c r="F458" s="1314">
        <f>SUM(F456:F457)</f>
        <v>8.0400000000000009</v>
      </c>
      <c r="G458" s="62"/>
      <c r="H458" s="62"/>
    </row>
    <row r="459" spans="1:8" ht="30">
      <c r="A459" s="391"/>
      <c r="B459" s="963" t="s">
        <v>98</v>
      </c>
      <c r="C459" s="92" t="s">
        <v>51</v>
      </c>
      <c r="D459" s="93" t="s">
        <v>52</v>
      </c>
      <c r="E459" s="105" t="s">
        <v>64</v>
      </c>
      <c r="F459" s="94" t="s">
        <v>54</v>
      </c>
      <c r="G459" s="62"/>
      <c r="H459" s="62"/>
    </row>
    <row r="460" spans="1:8">
      <c r="A460" s="1315">
        <v>37329</v>
      </c>
      <c r="B460" s="1352" t="s">
        <v>605</v>
      </c>
      <c r="C460" s="97" t="s">
        <v>49</v>
      </c>
      <c r="D460" s="232">
        <v>0.1</v>
      </c>
      <c r="E460" s="228">
        <v>115.01</v>
      </c>
      <c r="F460" s="1311">
        <f>TRUNC((D460*E460),2)</f>
        <v>11.5</v>
      </c>
      <c r="G460" s="62"/>
      <c r="H460" s="62"/>
    </row>
    <row r="461" spans="1:8">
      <c r="A461" s="1315">
        <v>37595</v>
      </c>
      <c r="B461" s="401" t="s">
        <v>607</v>
      </c>
      <c r="C461" s="97" t="s">
        <v>104</v>
      </c>
      <c r="D461" s="232">
        <v>0.5</v>
      </c>
      <c r="E461" s="228">
        <v>2.86</v>
      </c>
      <c r="F461" s="1311">
        <f>TRUNC((D461*E461),2)</f>
        <v>1.43</v>
      </c>
      <c r="G461" s="62"/>
      <c r="H461" s="62"/>
    </row>
    <row r="462" spans="1:8" ht="41.25" customHeight="1">
      <c r="A462" s="1437">
        <v>20231</v>
      </c>
      <c r="B462" s="1289" t="s">
        <v>608</v>
      </c>
      <c r="C462" s="97" t="s">
        <v>56</v>
      </c>
      <c r="D462" s="232">
        <v>1</v>
      </c>
      <c r="E462" s="228">
        <v>57.3</v>
      </c>
      <c r="F462" s="1311">
        <f>TRUNC((D462*E462),2)</f>
        <v>57.3</v>
      </c>
      <c r="G462" s="62"/>
      <c r="H462" s="62"/>
    </row>
    <row r="463" spans="1:8" ht="15.75" thickBot="1">
      <c r="A463" s="210"/>
      <c r="B463" s="200"/>
      <c r="C463" s="201"/>
      <c r="D463" s="233"/>
      <c r="E463" s="234" t="s">
        <v>60</v>
      </c>
      <c r="F463" s="525">
        <f>SUM(F460:F462)</f>
        <v>70.22999999999999</v>
      </c>
      <c r="G463" s="62"/>
      <c r="H463" s="62"/>
    </row>
    <row r="464" spans="1:8" ht="15.75" thickBot="1">
      <c r="A464" s="192"/>
      <c r="B464" s="2094" t="s">
        <v>55</v>
      </c>
      <c r="C464" s="2094"/>
      <c r="D464" s="2094"/>
      <c r="E464" s="2094"/>
      <c r="F464" s="526">
        <f>F458+F463</f>
        <v>78.27</v>
      </c>
      <c r="G464" s="62"/>
      <c r="H464" s="62"/>
    </row>
    <row r="465" spans="1:8" ht="15.75" thickBot="1">
      <c r="A465" s="528"/>
      <c r="B465" s="529"/>
      <c r="C465" s="530"/>
      <c r="D465" s="412"/>
      <c r="E465" s="412"/>
      <c r="F465" s="531"/>
      <c r="G465" s="62"/>
      <c r="H465" s="62"/>
    </row>
    <row r="466" spans="1:8" ht="25.5">
      <c r="A466" s="151" t="s">
        <v>2122</v>
      </c>
      <c r="B466" s="346" t="s">
        <v>2125</v>
      </c>
      <c r="C466" s="152" t="s">
        <v>48</v>
      </c>
      <c r="D466" s="153"/>
      <c r="E466" s="154"/>
      <c r="F466" s="246"/>
      <c r="G466" s="62"/>
      <c r="H466" s="62"/>
    </row>
    <row r="467" spans="1:8" ht="15" customHeight="1">
      <c r="A467" s="2105" t="s">
        <v>2126</v>
      </c>
      <c r="B467" s="2106"/>
      <c r="C467" s="2106"/>
      <c r="D467" s="2106"/>
      <c r="E467" s="2106"/>
      <c r="F467" s="2107"/>
      <c r="G467" s="62"/>
      <c r="H467" s="1358" t="s">
        <v>489</v>
      </c>
    </row>
    <row r="468" spans="1:8" ht="30">
      <c r="A468" s="1308"/>
      <c r="B468" s="1435" t="s">
        <v>58</v>
      </c>
      <c r="C468" s="92" t="s">
        <v>51</v>
      </c>
      <c r="D468" s="93" t="s">
        <v>52</v>
      </c>
      <c r="E468" s="105" t="s">
        <v>64</v>
      </c>
      <c r="F468" s="1309" t="s">
        <v>54</v>
      </c>
      <c r="G468" s="62"/>
      <c r="H468" s="62"/>
    </row>
    <row r="469" spans="1:8">
      <c r="A469" s="1310">
        <v>88316</v>
      </c>
      <c r="B469" s="1404" t="s">
        <v>68</v>
      </c>
      <c r="C469" s="97" t="s">
        <v>59</v>
      </c>
      <c r="D469" s="228">
        <v>2</v>
      </c>
      <c r="E469" s="228">
        <v>17.82</v>
      </c>
      <c r="F469" s="1311">
        <f>TRUNC((D469*E469),2)</f>
        <v>35.64</v>
      </c>
      <c r="G469" s="62"/>
      <c r="H469" s="62"/>
    </row>
    <row r="470" spans="1:8">
      <c r="A470" s="138">
        <v>88309</v>
      </c>
      <c r="B470" s="101" t="s">
        <v>107</v>
      </c>
      <c r="C470" s="97" t="s">
        <v>59</v>
      </c>
      <c r="D470" s="228">
        <v>2</v>
      </c>
      <c r="E470" s="206">
        <v>22.41</v>
      </c>
      <c r="F470" s="1311">
        <f>TRUNC((D470*E470),2)</f>
        <v>44.82</v>
      </c>
      <c r="G470" s="62"/>
      <c r="H470" s="62"/>
    </row>
    <row r="471" spans="1:8">
      <c r="A471" s="1312"/>
      <c r="B471" s="1313"/>
      <c r="C471" s="32" t="s">
        <v>43</v>
      </c>
      <c r="D471" s="98" t="s">
        <v>43</v>
      </c>
      <c r="E471" s="299" t="s">
        <v>60</v>
      </c>
      <c r="F471" s="1314">
        <f>SUM(F469:F470)</f>
        <v>80.460000000000008</v>
      </c>
      <c r="G471" s="62"/>
      <c r="H471" s="62"/>
    </row>
    <row r="472" spans="1:8" ht="30">
      <c r="A472" s="391"/>
      <c r="B472" s="963" t="s">
        <v>98</v>
      </c>
      <c r="C472" s="92" t="s">
        <v>51</v>
      </c>
      <c r="D472" s="93" t="s">
        <v>52</v>
      </c>
      <c r="E472" s="105" t="s">
        <v>64</v>
      </c>
      <c r="F472" s="94" t="s">
        <v>54</v>
      </c>
      <c r="G472" s="62"/>
      <c r="H472" s="62"/>
    </row>
    <row r="473" spans="1:8" ht="38.25">
      <c r="A473" s="1315">
        <v>102486</v>
      </c>
      <c r="B473" s="208" t="s">
        <v>2127</v>
      </c>
      <c r="C473" s="97" t="s">
        <v>49</v>
      </c>
      <c r="D473" s="232">
        <v>7.0000000000000007E-2</v>
      </c>
      <c r="E473" s="228">
        <v>584.79999999999995</v>
      </c>
      <c r="F473" s="1311">
        <f>TRUNC((D473*E473),2)</f>
        <v>40.93</v>
      </c>
      <c r="G473" s="62"/>
      <c r="H473" s="62"/>
    </row>
    <row r="474" spans="1:8" ht="40.5" customHeight="1">
      <c r="A474" s="1315">
        <v>103670</v>
      </c>
      <c r="B474" s="208" t="s">
        <v>2128</v>
      </c>
      <c r="C474" s="97" t="s">
        <v>49</v>
      </c>
      <c r="D474" s="232">
        <v>7.0000000000000007E-2</v>
      </c>
      <c r="E474" s="228">
        <v>243.21</v>
      </c>
      <c r="F474" s="1311">
        <f>TRUNC((D474*E474),2)</f>
        <v>17.02</v>
      </c>
      <c r="G474" s="62"/>
      <c r="H474" s="62"/>
    </row>
    <row r="475" spans="1:8" ht="38.25">
      <c r="A475" s="1315">
        <v>96536</v>
      </c>
      <c r="B475" s="208" t="s">
        <v>447</v>
      </c>
      <c r="C475" s="1321" t="s">
        <v>48</v>
      </c>
      <c r="D475" s="232">
        <v>1.67</v>
      </c>
      <c r="E475" s="228">
        <v>67.81</v>
      </c>
      <c r="F475" s="1311">
        <f>TRUNC((D475*E475),2)</f>
        <v>113.24</v>
      </c>
      <c r="G475" s="62"/>
      <c r="H475" s="62"/>
    </row>
    <row r="476" spans="1:8" ht="38.25">
      <c r="A476" s="1315">
        <v>92794</v>
      </c>
      <c r="B476" s="208" t="s">
        <v>1256</v>
      </c>
      <c r="C476" s="97" t="s">
        <v>104</v>
      </c>
      <c r="D476" s="232">
        <v>4.4000000000000004</v>
      </c>
      <c r="E476" s="228">
        <v>11.92</v>
      </c>
      <c r="F476" s="1311">
        <f>TRUNC((D476*E476),2)</f>
        <v>52.44</v>
      </c>
      <c r="G476" s="62"/>
      <c r="H476" s="62"/>
    </row>
    <row r="477" spans="1:8" ht="16.5" customHeight="1">
      <c r="A477" s="1437">
        <v>345</v>
      </c>
      <c r="B477" s="208" t="s">
        <v>2129</v>
      </c>
      <c r="C477" s="97" t="s">
        <v>104</v>
      </c>
      <c r="D477" s="232">
        <v>0.1</v>
      </c>
      <c r="E477" s="228">
        <v>28.52</v>
      </c>
      <c r="F477" s="1311">
        <f>TRUNC((D477*E477),2)</f>
        <v>2.85</v>
      </c>
      <c r="G477" s="62"/>
      <c r="H477" s="62"/>
    </row>
    <row r="478" spans="1:8" ht="15.75" thickBot="1">
      <c r="A478" s="210"/>
      <c r="B478" s="200"/>
      <c r="C478" s="201"/>
      <c r="D478" s="233"/>
      <c r="E478" s="234" t="s">
        <v>60</v>
      </c>
      <c r="F478" s="525">
        <f>SUM(F473:F477)</f>
        <v>226.48</v>
      </c>
      <c r="G478" s="62"/>
      <c r="H478" s="62"/>
    </row>
    <row r="479" spans="1:8" ht="15.75" thickBot="1">
      <c r="A479" s="192"/>
      <c r="B479" s="2094" t="s">
        <v>55</v>
      </c>
      <c r="C479" s="2094"/>
      <c r="D479" s="2094"/>
      <c r="E479" s="2094"/>
      <c r="F479" s="526">
        <f>F471+F478</f>
        <v>306.94</v>
      </c>
      <c r="G479" s="62"/>
      <c r="H479" s="62"/>
    </row>
    <row r="480" spans="1:8" ht="15.75" thickBot="1">
      <c r="A480" s="528"/>
      <c r="B480" s="529"/>
      <c r="C480" s="530"/>
      <c r="D480" s="412"/>
      <c r="E480" s="412"/>
      <c r="F480" s="531"/>
      <c r="G480" s="62"/>
      <c r="H480" s="62"/>
    </row>
    <row r="481" spans="1:8" ht="15.75" customHeight="1">
      <c r="A481" s="151" t="s">
        <v>2172</v>
      </c>
      <c r="B481" s="346" t="s">
        <v>2176</v>
      </c>
      <c r="C481" s="152" t="s">
        <v>48</v>
      </c>
      <c r="D481" s="153"/>
      <c r="E481" s="154"/>
      <c r="F481" s="246"/>
      <c r="G481" s="62"/>
      <c r="H481" s="62"/>
    </row>
    <row r="482" spans="1:8" ht="15.75">
      <c r="A482" s="2105" t="s">
        <v>2175</v>
      </c>
      <c r="B482" s="2106"/>
      <c r="C482" s="2106"/>
      <c r="D482" s="2106"/>
      <c r="E482" s="2106"/>
      <c r="F482" s="2107"/>
      <c r="G482" s="62"/>
      <c r="H482" s="1358" t="s">
        <v>489</v>
      </c>
    </row>
    <row r="483" spans="1:8" ht="30">
      <c r="A483" s="1308"/>
      <c r="B483" s="1435" t="s">
        <v>58</v>
      </c>
      <c r="C483" s="92" t="s">
        <v>51</v>
      </c>
      <c r="D483" s="93" t="s">
        <v>52</v>
      </c>
      <c r="E483" s="105" t="s">
        <v>64</v>
      </c>
      <c r="F483" s="1309" t="s">
        <v>54</v>
      </c>
      <c r="G483" s="62"/>
      <c r="H483" s="62"/>
    </row>
    <row r="484" spans="1:8" ht="15.75" thickBot="1">
      <c r="A484" s="210">
        <v>88309</v>
      </c>
      <c r="B484" s="1803" t="s">
        <v>107</v>
      </c>
      <c r="C484" s="1367" t="s">
        <v>59</v>
      </c>
      <c r="D484" s="1429">
        <v>0.113</v>
      </c>
      <c r="E484" s="1381">
        <v>22.41</v>
      </c>
      <c r="F484" s="1370">
        <f>TRUNC((D484*E484),2)</f>
        <v>2.5299999999999998</v>
      </c>
      <c r="G484" s="62"/>
      <c r="H484" s="62"/>
    </row>
    <row r="485" spans="1:8">
      <c r="A485" s="1804">
        <v>88316</v>
      </c>
      <c r="B485" s="1805" t="s">
        <v>68</v>
      </c>
      <c r="C485" s="1373" t="s">
        <v>59</v>
      </c>
      <c r="D485" s="1480">
        <v>3.61E-2</v>
      </c>
      <c r="E485" s="1375">
        <v>17.82</v>
      </c>
      <c r="F485" s="1397">
        <f>TRUNC((D485*E485),2)</f>
        <v>0.64</v>
      </c>
      <c r="G485" s="62"/>
      <c r="H485" s="62"/>
    </row>
    <row r="486" spans="1:8">
      <c r="A486" s="1312"/>
      <c r="B486" s="1313"/>
      <c r="C486" s="32" t="s">
        <v>43</v>
      </c>
      <c r="D486" s="98" t="s">
        <v>43</v>
      </c>
      <c r="E486" s="299" t="s">
        <v>60</v>
      </c>
      <c r="F486" s="1314">
        <f>SUM(F484:F485)</f>
        <v>3.17</v>
      </c>
      <c r="G486" s="62"/>
      <c r="H486" s="62"/>
    </row>
    <row r="487" spans="1:8" ht="30">
      <c r="A487" s="1312"/>
      <c r="B487" s="1449" t="s">
        <v>98</v>
      </c>
      <c r="C487" s="1399" t="s">
        <v>51</v>
      </c>
      <c r="D487" s="1400" t="s">
        <v>52</v>
      </c>
      <c r="E487" s="1436" t="s">
        <v>64</v>
      </c>
      <c r="F487" s="1395" t="s">
        <v>54</v>
      </c>
      <c r="G487" s="62"/>
      <c r="H487" s="62"/>
    </row>
    <row r="488" spans="1:8" ht="25.5">
      <c r="A488" s="358">
        <v>7334</v>
      </c>
      <c r="B488" s="208" t="s">
        <v>2177</v>
      </c>
      <c r="C488" s="97" t="s">
        <v>487</v>
      </c>
      <c r="D488" s="232">
        <v>0.2</v>
      </c>
      <c r="E488" s="228">
        <v>23.28</v>
      </c>
      <c r="F488" s="229">
        <f>TRUNC((D488*E488),2)</f>
        <v>4.6500000000000004</v>
      </c>
      <c r="G488" s="62"/>
      <c r="H488" s="62"/>
    </row>
    <row r="489" spans="1:8" ht="39" customHeight="1">
      <c r="A489" s="1315">
        <v>38546</v>
      </c>
      <c r="B489" s="208" t="s">
        <v>2178</v>
      </c>
      <c r="C489" s="1321" t="s">
        <v>49</v>
      </c>
      <c r="D489" s="231">
        <v>3.1199999999999999E-2</v>
      </c>
      <c r="E489" s="228">
        <v>625.22</v>
      </c>
      <c r="F489" s="1311">
        <f>TRUNC((D489*E489),2)</f>
        <v>19.5</v>
      </c>
      <c r="G489" s="62"/>
      <c r="H489" s="62"/>
    </row>
    <row r="490" spans="1:8" ht="15.75" thickBot="1">
      <c r="A490" s="210"/>
      <c r="B490" s="200"/>
      <c r="C490" s="201"/>
      <c r="D490" s="233"/>
      <c r="E490" s="234" t="s">
        <v>60</v>
      </c>
      <c r="F490" s="525">
        <f>SUM(F488:F489)</f>
        <v>24.15</v>
      </c>
      <c r="G490" s="62"/>
      <c r="H490" s="62"/>
    </row>
    <row r="491" spans="1:8" ht="15.75" thickBot="1">
      <c r="A491" s="192"/>
      <c r="B491" s="2094" t="s">
        <v>55</v>
      </c>
      <c r="C491" s="2094"/>
      <c r="D491" s="2094"/>
      <c r="E491" s="2094"/>
      <c r="F491" s="526">
        <f>F486+F490</f>
        <v>27.32</v>
      </c>
      <c r="G491" s="62"/>
      <c r="H491" s="62"/>
    </row>
    <row r="492" spans="1:8" ht="15.75" thickBot="1">
      <c r="A492" s="527"/>
      <c r="B492" s="1306"/>
      <c r="C492" s="1306"/>
      <c r="D492" s="1306"/>
      <c r="E492" s="1306"/>
      <c r="F492" s="1307"/>
      <c r="G492" s="62"/>
      <c r="H492" s="62"/>
    </row>
    <row r="493" spans="1:8" ht="66.75" customHeight="1">
      <c r="A493" s="151" t="s">
        <v>2174</v>
      </c>
      <c r="B493" s="346" t="s">
        <v>165</v>
      </c>
      <c r="C493" s="152" t="s">
        <v>48</v>
      </c>
      <c r="D493" s="153"/>
      <c r="E493" s="154"/>
      <c r="F493" s="246"/>
    </row>
    <row r="494" spans="1:8" ht="15.75">
      <c r="A494" s="2105" t="s">
        <v>610</v>
      </c>
      <c r="B494" s="2106"/>
      <c r="C494" s="2106"/>
      <c r="D494" s="2106"/>
      <c r="E494" s="2106"/>
      <c r="F494" s="2107"/>
      <c r="H494" s="1358" t="s">
        <v>489</v>
      </c>
    </row>
    <row r="495" spans="1:8" ht="30">
      <c r="A495" s="1308"/>
      <c r="B495" s="1319" t="s">
        <v>58</v>
      </c>
      <c r="C495" s="1399" t="s">
        <v>51</v>
      </c>
      <c r="D495" s="1400" t="s">
        <v>52</v>
      </c>
      <c r="E495" s="1436" t="s">
        <v>64</v>
      </c>
      <c r="F495" s="1309" t="s">
        <v>54</v>
      </c>
    </row>
    <row r="496" spans="1:8">
      <c r="A496" s="138">
        <v>88316</v>
      </c>
      <c r="B496" s="101" t="s">
        <v>68</v>
      </c>
      <c r="C496" s="97" t="s">
        <v>59</v>
      </c>
      <c r="D496" s="232">
        <v>6.2E-2</v>
      </c>
      <c r="E496" s="228">
        <v>17.82</v>
      </c>
      <c r="F496" s="229">
        <f>TRUNC((D496*E496),2)</f>
        <v>1.1000000000000001</v>
      </c>
    </row>
    <row r="497" spans="1:9">
      <c r="A497" s="1310">
        <v>88323</v>
      </c>
      <c r="B497" s="401" t="s">
        <v>611</v>
      </c>
      <c r="C497" s="97" t="s">
        <v>59</v>
      </c>
      <c r="D497" s="232">
        <v>5.6000000000000001E-2</v>
      </c>
      <c r="E497" s="206">
        <v>21.93</v>
      </c>
      <c r="F497" s="1311">
        <f>TRUNC((D497*E497),2)</f>
        <v>1.22</v>
      </c>
    </row>
    <row r="498" spans="1:9">
      <c r="A498" s="1312"/>
      <c r="B498" s="1313"/>
      <c r="C498" s="32" t="s">
        <v>43</v>
      </c>
      <c r="D498" s="98" t="s">
        <v>43</v>
      </c>
      <c r="E498" s="299" t="s">
        <v>60</v>
      </c>
      <c r="F498" s="1314">
        <f>SUM(F496:F497)</f>
        <v>2.3200000000000003</v>
      </c>
    </row>
    <row r="499" spans="1:9" ht="30">
      <c r="A499" s="391"/>
      <c r="B499" s="91" t="s">
        <v>98</v>
      </c>
      <c r="C499" s="92" t="s">
        <v>51</v>
      </c>
      <c r="D499" s="93" t="s">
        <v>52</v>
      </c>
      <c r="E499" s="105" t="s">
        <v>64</v>
      </c>
      <c r="F499" s="94" t="s">
        <v>54</v>
      </c>
    </row>
    <row r="500" spans="1:9" ht="38.25">
      <c r="A500" s="1315">
        <v>11029</v>
      </c>
      <c r="B500" s="401" t="s">
        <v>612</v>
      </c>
      <c r="C500" s="1321" t="s">
        <v>613</v>
      </c>
      <c r="D500" s="232">
        <v>4.1500000000000004</v>
      </c>
      <c r="E500" s="228">
        <v>1.93</v>
      </c>
      <c r="F500" s="1311">
        <f>TRUNC((D500*E500),2)</f>
        <v>8</v>
      </c>
    </row>
    <row r="501" spans="1:9" ht="38.25">
      <c r="A501" s="1315">
        <v>93281</v>
      </c>
      <c r="B501" s="401" t="s">
        <v>614</v>
      </c>
      <c r="C501" s="1321" t="s">
        <v>488</v>
      </c>
      <c r="D501" s="231">
        <v>8.9999999999999998E-4</v>
      </c>
      <c r="E501" s="228">
        <v>17.72</v>
      </c>
      <c r="F501" s="1311">
        <f>TRUNC((D501*E501),2)</f>
        <v>0.01</v>
      </c>
    </row>
    <row r="502" spans="1:9" ht="38.25">
      <c r="A502" s="1315">
        <v>93282</v>
      </c>
      <c r="B502" s="401" t="s">
        <v>615</v>
      </c>
      <c r="C502" s="1321" t="s">
        <v>616</v>
      </c>
      <c r="D502" s="231">
        <v>1.1999999999999999E-3</v>
      </c>
      <c r="E502" s="228">
        <v>16.72</v>
      </c>
      <c r="F502" s="1311">
        <f>TRUNC((D502*E502),2)</f>
        <v>0.02</v>
      </c>
    </row>
    <row r="503" spans="1:9" ht="64.5" customHeight="1">
      <c r="A503" s="150">
        <v>39520</v>
      </c>
      <c r="B503" s="1322" t="s">
        <v>164</v>
      </c>
      <c r="C503" s="1321" t="s">
        <v>48</v>
      </c>
      <c r="D503" s="232">
        <v>1.1399999999999999</v>
      </c>
      <c r="E503" s="228">
        <v>178.01</v>
      </c>
      <c r="F503" s="1311">
        <f>TRUNC((D503*E503),2)</f>
        <v>202.93</v>
      </c>
      <c r="H503" s="126"/>
    </row>
    <row r="504" spans="1:9" ht="15.75" thickBot="1">
      <c r="A504" s="1492"/>
      <c r="B504" s="200"/>
      <c r="C504" s="201"/>
      <c r="D504" s="233"/>
      <c r="E504" s="234" t="s">
        <v>60</v>
      </c>
      <c r="F504" s="525">
        <f>SUM(F500:F503)</f>
        <v>210.96</v>
      </c>
    </row>
    <row r="505" spans="1:9" ht="15.75" thickBot="1">
      <c r="A505" s="192"/>
      <c r="B505" s="2094" t="s">
        <v>55</v>
      </c>
      <c r="C505" s="2094"/>
      <c r="D505" s="2094"/>
      <c r="E505" s="2094"/>
      <c r="F505" s="526">
        <f>F498+F504</f>
        <v>213.28</v>
      </c>
    </row>
    <row r="506" spans="1:9" ht="6" customHeight="1" thickBot="1">
      <c r="A506" s="601"/>
      <c r="B506" s="602"/>
      <c r="C506" s="603"/>
      <c r="D506" s="604"/>
      <c r="E506" s="604"/>
      <c r="F506" s="601"/>
      <c r="G506" s="62"/>
      <c r="H506" s="62"/>
    </row>
    <row r="507" spans="1:9" ht="50.25" customHeight="1" thickBot="1">
      <c r="A507" s="2124" t="s">
        <v>145</v>
      </c>
      <c r="B507" s="2125"/>
      <c r="C507" s="2036" t="s">
        <v>124</v>
      </c>
      <c r="D507" s="2036"/>
      <c r="E507" s="2036"/>
      <c r="F507" s="2037"/>
    </row>
    <row r="509" spans="1:9">
      <c r="A509" s="783"/>
      <c r="G509" s="45"/>
      <c r="H509" s="45"/>
      <c r="I509" s="45"/>
    </row>
    <row r="510" spans="1:9">
      <c r="A510" s="1296"/>
      <c r="B510" s="1296"/>
      <c r="C510" s="1296"/>
      <c r="D510" s="1296"/>
      <c r="E510" s="1298"/>
      <c r="F510" s="1296"/>
      <c r="G510" s="45"/>
      <c r="H510" s="45"/>
      <c r="I510" s="45"/>
    </row>
    <row r="511" spans="1:9">
      <c r="A511" s="71"/>
      <c r="B511" s="261"/>
      <c r="C511" s="1282"/>
      <c r="D511" s="1283"/>
      <c r="E511" s="1303"/>
      <c r="F511" s="1284"/>
      <c r="G511" s="45"/>
      <c r="H511" s="45"/>
      <c r="I511" s="45"/>
    </row>
    <row r="512" spans="1:9">
      <c r="A512" s="974"/>
      <c r="B512" s="1285"/>
      <c r="C512" s="301"/>
      <c r="D512" s="961"/>
      <c r="E512" s="564"/>
      <c r="F512" s="962"/>
      <c r="G512" s="45"/>
      <c r="H512" s="45"/>
      <c r="I512" s="45"/>
    </row>
    <row r="513" spans="1:9">
      <c r="A513" s="974"/>
      <c r="B513" s="1285"/>
      <c r="C513" s="301"/>
      <c r="D513" s="961"/>
      <c r="E513" s="522"/>
      <c r="F513" s="962"/>
      <c r="G513" s="45"/>
      <c r="H513" s="45"/>
      <c r="I513" s="45"/>
    </row>
    <row r="514" spans="1:9">
      <c r="A514" s="973"/>
      <c r="B514" s="1286"/>
      <c r="C514" s="1287"/>
      <c r="D514" s="1288"/>
      <c r="E514" s="753"/>
      <c r="F514" s="1284"/>
      <c r="G514" s="45"/>
      <c r="H514" s="45"/>
      <c r="I514" s="45"/>
    </row>
    <row r="515" spans="1:9">
      <c r="A515" s="973"/>
      <c r="B515" s="261"/>
      <c r="C515" s="1282"/>
      <c r="D515" s="1283"/>
      <c r="E515" s="1303"/>
      <c r="F515" s="1284"/>
      <c r="G515" s="45"/>
      <c r="H515" s="45"/>
      <c r="I515" s="45"/>
    </row>
    <row r="516" spans="1:9">
      <c r="A516" s="860"/>
      <c r="B516" s="1289"/>
      <c r="C516" s="301"/>
      <c r="D516" s="1290"/>
      <c r="E516" s="522"/>
      <c r="F516" s="1291"/>
      <c r="G516" s="45"/>
      <c r="H516" s="45"/>
      <c r="I516" s="45"/>
    </row>
    <row r="517" spans="1:9">
      <c r="A517" s="860"/>
      <c r="B517" s="1292"/>
      <c r="C517" s="301"/>
      <c r="D517" s="927"/>
      <c r="E517" s="522"/>
      <c r="F517" s="1291"/>
      <c r="G517" s="45"/>
      <c r="H517" s="45"/>
      <c r="I517" s="45"/>
    </row>
    <row r="518" spans="1:9">
      <c r="A518" s="856"/>
      <c r="B518" s="1293"/>
      <c r="C518" s="1294"/>
      <c r="D518" s="1295"/>
      <c r="E518" s="753"/>
      <c r="F518" s="1284"/>
      <c r="G518" s="45"/>
      <c r="H518" s="45"/>
      <c r="I518" s="45"/>
    </row>
    <row r="519" spans="1:9">
      <c r="A519" s="527"/>
      <c r="B519" s="1299"/>
      <c r="C519" s="1300"/>
      <c r="D519" s="1301"/>
      <c r="E519" s="1302"/>
      <c r="F519" s="394"/>
      <c r="G519" s="45"/>
      <c r="H519" s="45"/>
      <c r="I519" s="45"/>
    </row>
    <row r="520" spans="1:9" ht="30" customHeight="1">
      <c r="A520" s="45"/>
      <c r="B520" s="1297"/>
      <c r="C520" s="1297"/>
      <c r="D520" s="1297"/>
      <c r="E520" s="1304"/>
      <c r="F520" s="45"/>
      <c r="G520" s="45"/>
      <c r="H520" s="45"/>
      <c r="I520" s="45"/>
    </row>
    <row r="521" spans="1:9">
      <c r="E521" s="1305"/>
    </row>
    <row r="522" spans="1:9">
      <c r="E522" s="1305"/>
    </row>
  </sheetData>
  <mergeCells count="156">
    <mergeCell ref="D406:E406"/>
    <mergeCell ref="D407:E407"/>
    <mergeCell ref="D408:E408"/>
    <mergeCell ref="D409:E409"/>
    <mergeCell ref="D410:E410"/>
    <mergeCell ref="B255:E255"/>
    <mergeCell ref="D256:E256"/>
    <mergeCell ref="D375:E375"/>
    <mergeCell ref="D376:E376"/>
    <mergeCell ref="D377:E377"/>
    <mergeCell ref="D378:E378"/>
    <mergeCell ref="B389:E389"/>
    <mergeCell ref="D390:E390"/>
    <mergeCell ref="D391:E391"/>
    <mergeCell ref="D392:E392"/>
    <mergeCell ref="D393:E393"/>
    <mergeCell ref="A271:F271"/>
    <mergeCell ref="B210:E210"/>
    <mergeCell ref="B211:E211"/>
    <mergeCell ref="C161:E161"/>
    <mergeCell ref="D212:E212"/>
    <mergeCell ref="B178:E178"/>
    <mergeCell ref="D179:E179"/>
    <mergeCell ref="D180:E180"/>
    <mergeCell ref="D181:E181"/>
    <mergeCell ref="B404:E404"/>
    <mergeCell ref="D182:E182"/>
    <mergeCell ref="D183:E183"/>
    <mergeCell ref="A186:F186"/>
    <mergeCell ref="B194:E194"/>
    <mergeCell ref="D200:E200"/>
    <mergeCell ref="B195:E195"/>
    <mergeCell ref="D196:E196"/>
    <mergeCell ref="D197:E197"/>
    <mergeCell ref="D198:E198"/>
    <mergeCell ref="D199:E199"/>
    <mergeCell ref="A454:F454"/>
    <mergeCell ref="B464:E464"/>
    <mergeCell ref="A441:F441"/>
    <mergeCell ref="B280:E280"/>
    <mergeCell ref="A283:F283"/>
    <mergeCell ref="B294:E294"/>
    <mergeCell ref="B305:E305"/>
    <mergeCell ref="B316:E316"/>
    <mergeCell ref="A345:F345"/>
    <mergeCell ref="B355:E355"/>
    <mergeCell ref="A365:F365"/>
    <mergeCell ref="B372:E372"/>
    <mergeCell ref="A381:F381"/>
    <mergeCell ref="B388:E388"/>
    <mergeCell ref="B373:E373"/>
    <mergeCell ref="D374:E374"/>
    <mergeCell ref="B438:E438"/>
    <mergeCell ref="D394:E394"/>
    <mergeCell ref="A397:F397"/>
    <mergeCell ref="C411:E411"/>
    <mergeCell ref="A414:F414"/>
    <mergeCell ref="B421:E421"/>
    <mergeCell ref="A424:F424"/>
    <mergeCell ref="B405:E405"/>
    <mergeCell ref="B125:E125"/>
    <mergeCell ref="B126:E126"/>
    <mergeCell ref="A235:F235"/>
    <mergeCell ref="B142:E142"/>
    <mergeCell ref="A151:F151"/>
    <mergeCell ref="B227:E227"/>
    <mergeCell ref="D231:E231"/>
    <mergeCell ref="D232:E232"/>
    <mergeCell ref="D215:E215"/>
    <mergeCell ref="D216:E216"/>
    <mergeCell ref="D228:E228"/>
    <mergeCell ref="D229:E229"/>
    <mergeCell ref="B143:E143"/>
    <mergeCell ref="D144:E144"/>
    <mergeCell ref="D145:E145"/>
    <mergeCell ref="D146:E146"/>
    <mergeCell ref="D147:E147"/>
    <mergeCell ref="D148:E148"/>
    <mergeCell ref="B162:E162"/>
    <mergeCell ref="A219:F219"/>
    <mergeCell ref="B226:E226"/>
    <mergeCell ref="D213:E213"/>
    <mergeCell ref="D214:E214"/>
    <mergeCell ref="B160:E160"/>
    <mergeCell ref="A467:F467"/>
    <mergeCell ref="A25:F25"/>
    <mergeCell ref="B37:E37"/>
    <mergeCell ref="B64:E64"/>
    <mergeCell ref="B3:F3"/>
    <mergeCell ref="B4:F4"/>
    <mergeCell ref="B20:E20"/>
    <mergeCell ref="B21:E21"/>
    <mergeCell ref="B22:E22"/>
    <mergeCell ref="B5:F5"/>
    <mergeCell ref="A14:F14"/>
    <mergeCell ref="A40:F40"/>
    <mergeCell ref="B67:F67"/>
    <mergeCell ref="D163:E163"/>
    <mergeCell ref="D164:E164"/>
    <mergeCell ref="D165:E165"/>
    <mergeCell ref="D166:E166"/>
    <mergeCell ref="D167:E167"/>
    <mergeCell ref="A245:F245"/>
    <mergeCell ref="A170:F170"/>
    <mergeCell ref="B177:E177"/>
    <mergeCell ref="A100:F100"/>
    <mergeCell ref="B78:E78"/>
    <mergeCell ref="A203:F203"/>
    <mergeCell ref="D113:E113"/>
    <mergeCell ref="A507:B507"/>
    <mergeCell ref="C507:F507"/>
    <mergeCell ref="D127:E127"/>
    <mergeCell ref="D128:E128"/>
    <mergeCell ref="D129:E129"/>
    <mergeCell ref="D130:E130"/>
    <mergeCell ref="D131:E131"/>
    <mergeCell ref="A134:F134"/>
    <mergeCell ref="B329:E329"/>
    <mergeCell ref="A332:F332"/>
    <mergeCell ref="B342:E342"/>
    <mergeCell ref="B242:E242"/>
    <mergeCell ref="D230:E230"/>
    <mergeCell ref="A259:F259"/>
    <mergeCell ref="B268:E268"/>
    <mergeCell ref="B505:E505"/>
    <mergeCell ref="A319:F319"/>
    <mergeCell ref="A297:F297"/>
    <mergeCell ref="A308:F308"/>
    <mergeCell ref="A494:F494"/>
    <mergeCell ref="A482:F482"/>
    <mergeCell ref="B491:E491"/>
    <mergeCell ref="B451:E451"/>
    <mergeCell ref="B479:E479"/>
    <mergeCell ref="B356:E356"/>
    <mergeCell ref="D357:E357"/>
    <mergeCell ref="D358:E358"/>
    <mergeCell ref="D359:E359"/>
    <mergeCell ref="C362:E362"/>
    <mergeCell ref="D361:E361"/>
    <mergeCell ref="D360:E360"/>
    <mergeCell ref="A81:F81"/>
    <mergeCell ref="B90:E90"/>
    <mergeCell ref="C91:D91"/>
    <mergeCell ref="D93:E93"/>
    <mergeCell ref="D94:E94"/>
    <mergeCell ref="D95:E95"/>
    <mergeCell ref="D96:E96"/>
    <mergeCell ref="D97:E97"/>
    <mergeCell ref="A116:F116"/>
    <mergeCell ref="B92:E92"/>
    <mergeCell ref="B107:E107"/>
    <mergeCell ref="B108:E108"/>
    <mergeCell ref="D109:E109"/>
    <mergeCell ref="D110:E110"/>
    <mergeCell ref="D111:E111"/>
    <mergeCell ref="D112:E112"/>
  </mergeCells>
  <hyperlinks>
    <hyperlink ref="F166" r:id="rId1"/>
    <hyperlink ref="F182" r:id="rId2"/>
    <hyperlink ref="F199" r:id="rId3"/>
    <hyperlink ref="F231" r:id="rId4"/>
    <hyperlink ref="F377" r:id="rId5"/>
  </hyperlinks>
  <printOptions horizontalCentered="1"/>
  <pageMargins left="0.70866141732283472" right="0.70866141732283472" top="0.74803149606299213" bottom="0.74803149606299213" header="0.31496062992125984" footer="0.31496062992125984"/>
  <pageSetup paperSize="9" scale="70"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
  <sheetViews>
    <sheetView topLeftCell="A109" workbookViewId="0">
      <selection activeCell="E97" sqref="E97"/>
    </sheetView>
  </sheetViews>
  <sheetFormatPr defaultRowHeight="15"/>
  <cols>
    <col min="1" max="1" width="15.42578125" customWidth="1"/>
    <col min="2" max="2" width="62.140625" customWidth="1"/>
    <col min="3" max="3" width="10" customWidth="1"/>
    <col min="4" max="4" width="10.5703125" customWidth="1"/>
    <col min="5" max="5" width="10.140625" customWidth="1"/>
    <col min="6" max="6" width="19.85546875" customWidth="1"/>
    <col min="8" max="8" width="22" customWidth="1"/>
    <col min="9" max="9" width="10" customWidth="1"/>
  </cols>
  <sheetData>
    <row r="1" spans="1:6">
      <c r="A1" s="134"/>
      <c r="B1" s="135"/>
      <c r="C1" s="135"/>
      <c r="D1" s="135"/>
      <c r="E1" s="135"/>
      <c r="F1" s="136"/>
    </row>
    <row r="2" spans="1:6">
      <c r="A2" s="129"/>
      <c r="B2" s="45"/>
      <c r="C2" s="45"/>
      <c r="D2" s="45"/>
      <c r="E2" s="45"/>
      <c r="F2" s="130"/>
    </row>
    <row r="3" spans="1:6">
      <c r="A3" s="129"/>
      <c r="B3" s="2136" t="s">
        <v>135</v>
      </c>
      <c r="C3" s="2136"/>
      <c r="D3" s="2136"/>
      <c r="E3" s="2136"/>
      <c r="F3" s="2137"/>
    </row>
    <row r="4" spans="1:6">
      <c r="A4" s="129"/>
      <c r="B4" s="2136" t="s">
        <v>136</v>
      </c>
      <c r="C4" s="2136"/>
      <c r="D4" s="2136"/>
      <c r="E4" s="2136"/>
      <c r="F4" s="2137"/>
    </row>
    <row r="5" spans="1:6">
      <c r="A5" s="129"/>
      <c r="B5" s="2145" t="s">
        <v>296</v>
      </c>
      <c r="C5" s="2145"/>
      <c r="D5" s="2145"/>
      <c r="E5" s="2145"/>
      <c r="F5" s="2146"/>
    </row>
    <row r="6" spans="1:6" ht="15.75" thickBot="1">
      <c r="A6" s="251"/>
      <c r="B6" s="132"/>
      <c r="C6" s="132"/>
      <c r="D6" s="132"/>
      <c r="E6" s="132"/>
      <c r="F6" s="133"/>
    </row>
    <row r="7" spans="1:6" ht="6" customHeight="1" thickBot="1"/>
    <row r="8" spans="1:6">
      <c r="A8" s="248" t="s">
        <v>0</v>
      </c>
      <c r="B8" s="402" t="str">
        <f>'PLANILHA SEM DESON'!B8:C8</f>
        <v>364778/2019</v>
      </c>
      <c r="C8" s="135"/>
      <c r="D8" s="135"/>
      <c r="E8" s="249" t="s">
        <v>139</v>
      </c>
      <c r="F8" s="606">
        <f>'PLANILHA SEM DESON'!I11</f>
        <v>44412</v>
      </c>
    </row>
    <row r="9" spans="1:6">
      <c r="A9" s="250" t="s">
        <v>1</v>
      </c>
      <c r="B9" s="303" t="str">
        <f>'PLANILHA SEM DESON'!B9:C9</f>
        <v>CONSTRUÇÃO DE DIRETORIA DE UNIDADE DESCONCENTRADA DA SEMA - DUDS</v>
      </c>
      <c r="C9" s="303"/>
      <c r="D9" s="45"/>
      <c r="E9" s="45"/>
      <c r="F9" s="130"/>
    </row>
    <row r="10" spans="1:6">
      <c r="A10" s="218" t="s">
        <v>2</v>
      </c>
      <c r="B10" s="303" t="str">
        <f>'PLANILHA SEM DESON'!B10:C10</f>
        <v>RUA 24 A - JARDIM TANGARA II</v>
      </c>
      <c r="C10" s="303"/>
      <c r="D10" s="45"/>
      <c r="E10" s="45"/>
      <c r="F10" s="130"/>
    </row>
    <row r="11" spans="1:6">
      <c r="A11" s="218" t="s">
        <v>4</v>
      </c>
      <c r="B11" s="303" t="str">
        <f>'PLANILHA SEM DESON'!B11:C11</f>
        <v>TANGARÁ DA SERRA - MT</v>
      </c>
      <c r="C11" s="303"/>
      <c r="D11" s="45"/>
      <c r="E11" s="45"/>
      <c r="F11" s="130"/>
    </row>
    <row r="12" spans="1:6" ht="15.75" thickBot="1">
      <c r="A12" s="219" t="s">
        <v>6</v>
      </c>
      <c r="B12" s="405" t="str">
        <f>'PLANILHA SEM DESON'!B12</f>
        <v xml:space="preserve">CONSTRUÇÃO </v>
      </c>
      <c r="C12" s="405"/>
      <c r="D12" s="132"/>
      <c r="E12" s="132"/>
      <c r="F12" s="133"/>
    </row>
    <row r="13" spans="1:6" ht="6.75" customHeight="1" thickBot="1">
      <c r="A13" s="45"/>
    </row>
    <row r="14" spans="1:6" ht="16.5" thickBot="1">
      <c r="A14" s="2202" t="s">
        <v>2111</v>
      </c>
      <c r="B14" s="2203"/>
      <c r="C14" s="2203"/>
      <c r="D14" s="2203"/>
      <c r="E14" s="2203"/>
      <c r="F14" s="2204"/>
    </row>
    <row r="15" spans="1:6">
      <c r="A15" s="1552" t="s">
        <v>479</v>
      </c>
      <c r="B15" s="1553" t="s">
        <v>1246</v>
      </c>
      <c r="C15" s="1554" t="s">
        <v>48</v>
      </c>
      <c r="D15" s="2205"/>
      <c r="E15" s="2206"/>
      <c r="F15" s="1555"/>
    </row>
    <row r="16" spans="1:6">
      <c r="A16" s="2207" t="s">
        <v>1245</v>
      </c>
      <c r="B16" s="2208"/>
      <c r="C16" s="2208"/>
      <c r="D16" s="2208"/>
      <c r="E16" s="2208"/>
      <c r="F16" s="2209"/>
    </row>
    <row r="17" spans="1:6" ht="25.5">
      <c r="A17" s="609"/>
      <c r="B17" s="1551" t="s">
        <v>58</v>
      </c>
      <c r="C17" s="499" t="s">
        <v>51</v>
      </c>
      <c r="D17" s="500" t="s">
        <v>52</v>
      </c>
      <c r="E17" s="485" t="s">
        <v>64</v>
      </c>
      <c r="F17" s="501" t="s">
        <v>54</v>
      </c>
    </row>
    <row r="18" spans="1:6" ht="18" customHeight="1">
      <c r="A18" s="426" t="s">
        <v>482</v>
      </c>
      <c r="B18" s="401" t="s">
        <v>483</v>
      </c>
      <c r="C18" s="97" t="s">
        <v>59</v>
      </c>
      <c r="D18" s="491">
        <v>1.1000000000000001</v>
      </c>
      <c r="E18" s="615">
        <v>18.79</v>
      </c>
      <c r="F18" s="616">
        <f>TRUNC((D18*E18),2)</f>
        <v>20.66</v>
      </c>
    </row>
    <row r="19" spans="1:6">
      <c r="A19" s="426" t="s">
        <v>484</v>
      </c>
      <c r="B19" s="401" t="s">
        <v>468</v>
      </c>
      <c r="C19" s="97" t="s">
        <v>59</v>
      </c>
      <c r="D19" s="491">
        <v>1.1000000000000001</v>
      </c>
      <c r="E19" s="615">
        <v>22.16</v>
      </c>
      <c r="F19" s="616">
        <f>TRUNC((D19*E19),2)</f>
        <v>24.37</v>
      </c>
    </row>
    <row r="20" spans="1:6">
      <c r="A20" s="497"/>
      <c r="B20" s="617"/>
      <c r="C20" s="489" t="s">
        <v>43</v>
      </c>
      <c r="D20" s="618" t="s">
        <v>43</v>
      </c>
      <c r="E20" s="1549" t="s">
        <v>60</v>
      </c>
      <c r="F20" s="507">
        <f>SUM(F18:F19)</f>
        <v>45.03</v>
      </c>
    </row>
    <row r="21" spans="1:6" ht="25.5">
      <c r="A21" s="497"/>
      <c r="B21" s="1550" t="s">
        <v>98</v>
      </c>
      <c r="C21" s="499" t="s">
        <v>51</v>
      </c>
      <c r="D21" s="500" t="s">
        <v>52</v>
      </c>
      <c r="E21" s="485" t="s">
        <v>64</v>
      </c>
      <c r="F21" s="501" t="s">
        <v>54</v>
      </c>
    </row>
    <row r="22" spans="1:6" ht="25.5">
      <c r="A22" s="621">
        <v>4517</v>
      </c>
      <c r="B22" s="208" t="s">
        <v>1818</v>
      </c>
      <c r="C22" s="622" t="s">
        <v>56</v>
      </c>
      <c r="D22" s="491">
        <v>1.25</v>
      </c>
      <c r="E22" s="491">
        <v>3.16</v>
      </c>
      <c r="F22" s="616">
        <f>TRUNC((D22*E22),2)</f>
        <v>3.95</v>
      </c>
    </row>
    <row r="23" spans="1:6" ht="25.5">
      <c r="A23" s="621">
        <v>6189</v>
      </c>
      <c r="B23" s="208" t="s">
        <v>1491</v>
      </c>
      <c r="C23" s="622" t="s">
        <v>48</v>
      </c>
      <c r="D23" s="491">
        <v>0.2</v>
      </c>
      <c r="E23" s="491">
        <v>23.78</v>
      </c>
      <c r="F23" s="616">
        <f>TRUNC((D23*E23),2)</f>
        <v>4.75</v>
      </c>
    </row>
    <row r="24" spans="1:6" ht="25.5">
      <c r="A24" s="621">
        <v>1346</v>
      </c>
      <c r="B24" s="208" t="s">
        <v>1816</v>
      </c>
      <c r="C24" s="622" t="s">
        <v>48</v>
      </c>
      <c r="D24" s="491">
        <v>0.1</v>
      </c>
      <c r="E24" s="491">
        <v>64.27</v>
      </c>
      <c r="F24" s="616">
        <f>TRUNC((D24*E24),2)</f>
        <v>6.42</v>
      </c>
    </row>
    <row r="25" spans="1:6">
      <c r="A25" s="621">
        <v>5061</v>
      </c>
      <c r="B25" s="208" t="s">
        <v>1490</v>
      </c>
      <c r="C25" s="622" t="s">
        <v>104</v>
      </c>
      <c r="D25" s="491">
        <v>0.7</v>
      </c>
      <c r="E25" s="491">
        <v>25.15</v>
      </c>
      <c r="F25" s="616">
        <f>TRUNC((D25*E25),2)</f>
        <v>17.600000000000001</v>
      </c>
    </row>
    <row r="26" spans="1:6" ht="25.5">
      <c r="A26" s="621">
        <v>2692</v>
      </c>
      <c r="B26" s="208" t="s">
        <v>1817</v>
      </c>
      <c r="C26" s="622" t="s">
        <v>487</v>
      </c>
      <c r="D26" s="491">
        <v>0.01</v>
      </c>
      <c r="E26" s="491">
        <v>5.24</v>
      </c>
      <c r="F26" s="616">
        <f>TRUNC((D26*E26),2)</f>
        <v>0.05</v>
      </c>
    </row>
    <row r="27" spans="1:6">
      <c r="A27" s="335"/>
      <c r="B27" s="623"/>
      <c r="C27" s="318"/>
      <c r="D27" s="624"/>
      <c r="E27" s="1549" t="s">
        <v>60</v>
      </c>
      <c r="F27" s="501">
        <f>SUM(F22:F26)</f>
        <v>32.769999999999996</v>
      </c>
    </row>
    <row r="28" spans="1:6" ht="15.75" thickBot="1">
      <c r="A28" s="625"/>
      <c r="B28" s="2213" t="s">
        <v>55</v>
      </c>
      <c r="C28" s="2213"/>
      <c r="D28" s="2213"/>
      <c r="E28" s="2213"/>
      <c r="F28" s="864">
        <f>F20+F27</f>
        <v>77.8</v>
      </c>
    </row>
    <row r="29" spans="1:6" ht="15.75" thickBot="1">
      <c r="A29" s="527"/>
      <c r="B29" s="2214"/>
      <c r="C29" s="2214"/>
      <c r="D29" s="2214"/>
      <c r="E29" s="2214"/>
      <c r="F29" s="397"/>
    </row>
    <row r="30" spans="1:6">
      <c r="A30" s="523" t="s">
        <v>480</v>
      </c>
      <c r="B30" s="685" t="s">
        <v>1247</v>
      </c>
      <c r="C30" s="608" t="s">
        <v>48</v>
      </c>
      <c r="D30" s="2211"/>
      <c r="E30" s="2212"/>
      <c r="F30" s="155"/>
    </row>
    <row r="31" spans="1:6">
      <c r="A31" s="2207" t="s">
        <v>1248</v>
      </c>
      <c r="B31" s="2208"/>
      <c r="C31" s="2208"/>
      <c r="D31" s="2208"/>
      <c r="E31" s="2208"/>
      <c r="F31" s="2209"/>
    </row>
    <row r="32" spans="1:6" ht="30">
      <c r="A32" s="609"/>
      <c r="B32" s="610" t="s">
        <v>58</v>
      </c>
      <c r="C32" s="611" t="s">
        <v>51</v>
      </c>
      <c r="D32" s="612" t="s">
        <v>52</v>
      </c>
      <c r="E32" s="613" t="s">
        <v>64</v>
      </c>
      <c r="F32" s="614" t="s">
        <v>54</v>
      </c>
    </row>
    <row r="33" spans="1:6">
      <c r="A33" s="426" t="s">
        <v>485</v>
      </c>
      <c r="B33" s="401" t="s">
        <v>107</v>
      </c>
      <c r="C33" s="97" t="s">
        <v>59</v>
      </c>
      <c r="D33" s="686">
        <v>1.0058</v>
      </c>
      <c r="E33" s="615">
        <v>22.41</v>
      </c>
      <c r="F33" s="616">
        <f>TRUNC((D33*E33),2)</f>
        <v>22.53</v>
      </c>
    </row>
    <row r="34" spans="1:6">
      <c r="A34" s="426" t="s">
        <v>486</v>
      </c>
      <c r="B34" s="303" t="s">
        <v>68</v>
      </c>
      <c r="C34" s="97" t="s">
        <v>59</v>
      </c>
      <c r="D34" s="686">
        <v>2.7574000000000001</v>
      </c>
      <c r="E34" s="615">
        <v>17.82</v>
      </c>
      <c r="F34" s="616">
        <f>TRUNC((D34*E34),2)</f>
        <v>49.13</v>
      </c>
    </row>
    <row r="35" spans="1:6">
      <c r="A35" s="497"/>
      <c r="B35" s="617"/>
      <c r="C35" s="489" t="s">
        <v>43</v>
      </c>
      <c r="D35" s="618" t="s">
        <v>43</v>
      </c>
      <c r="E35" s="619" t="s">
        <v>60</v>
      </c>
      <c r="F35" s="620">
        <f>SUM(F33:F34)</f>
        <v>71.66</v>
      </c>
    </row>
    <row r="36" spans="1:6" ht="30">
      <c r="A36" s="497"/>
      <c r="B36" s="498" t="s">
        <v>98</v>
      </c>
      <c r="C36" s="611" t="s">
        <v>51</v>
      </c>
      <c r="D36" s="612" t="s">
        <v>52</v>
      </c>
      <c r="E36" s="613" t="s">
        <v>64</v>
      </c>
      <c r="F36" s="614" t="s">
        <v>54</v>
      </c>
    </row>
    <row r="37" spans="1:6">
      <c r="A37" s="621"/>
      <c r="B37" s="684"/>
      <c r="C37" s="622"/>
      <c r="D37" s="491"/>
      <c r="E37" s="491"/>
      <c r="F37" s="616">
        <f>TRUNC((D37*E37),2)</f>
        <v>0</v>
      </c>
    </row>
    <row r="38" spans="1:6">
      <c r="A38" s="335"/>
      <c r="B38" s="623"/>
      <c r="C38" s="318"/>
      <c r="D38" s="624"/>
      <c r="E38" s="619" t="s">
        <v>60</v>
      </c>
      <c r="F38" s="614">
        <f>SUM(F37:F37)</f>
        <v>0</v>
      </c>
    </row>
    <row r="39" spans="1:6" ht="15.75" thickBot="1">
      <c r="A39" s="625"/>
      <c r="B39" s="2215" t="s">
        <v>55</v>
      </c>
      <c r="C39" s="2215"/>
      <c r="D39" s="2215"/>
      <c r="E39" s="2215"/>
      <c r="F39" s="626">
        <f>F35+F38</f>
        <v>71.66</v>
      </c>
    </row>
    <row r="40" spans="1:6" ht="15.75" thickBot="1"/>
    <row r="41" spans="1:6" ht="24" customHeight="1">
      <c r="A41" s="523" t="s">
        <v>1262</v>
      </c>
      <c r="B41" s="685" t="s">
        <v>1249</v>
      </c>
      <c r="C41" s="608" t="s">
        <v>104</v>
      </c>
      <c r="D41" s="2211"/>
      <c r="E41" s="2212"/>
      <c r="F41" s="155"/>
    </row>
    <row r="42" spans="1:6">
      <c r="A42" s="2207" t="s">
        <v>1251</v>
      </c>
      <c r="B42" s="2208"/>
      <c r="C42" s="2208"/>
      <c r="D42" s="2208"/>
      <c r="E42" s="2208"/>
      <c r="F42" s="2209"/>
    </row>
    <row r="43" spans="1:6" ht="30">
      <c r="A43" s="609"/>
      <c r="B43" s="610" t="s">
        <v>58</v>
      </c>
      <c r="C43" s="611" t="s">
        <v>51</v>
      </c>
      <c r="D43" s="612" t="s">
        <v>52</v>
      </c>
      <c r="E43" s="613" t="s">
        <v>64</v>
      </c>
      <c r="F43" s="614" t="s">
        <v>54</v>
      </c>
    </row>
    <row r="44" spans="1:6">
      <c r="A44" s="426">
        <v>88238</v>
      </c>
      <c r="B44" s="1806" t="s">
        <v>1253</v>
      </c>
      <c r="C44" s="97" t="s">
        <v>59</v>
      </c>
      <c r="D44" s="491">
        <v>1</v>
      </c>
      <c r="E44" s="615">
        <v>17.82</v>
      </c>
      <c r="F44" s="616">
        <f>TRUNC((D44*E44),2)</f>
        <v>17.82</v>
      </c>
    </row>
    <row r="45" spans="1:6">
      <c r="A45" s="426">
        <v>88245</v>
      </c>
      <c r="B45" s="691" t="s">
        <v>1254</v>
      </c>
      <c r="C45" s="97" t="s">
        <v>59</v>
      </c>
      <c r="D45" s="491">
        <v>1</v>
      </c>
      <c r="E45" s="615">
        <v>22.28</v>
      </c>
      <c r="F45" s="616">
        <f>TRUNC((D45*E45),2)</f>
        <v>22.28</v>
      </c>
    </row>
    <row r="46" spans="1:6">
      <c r="A46" s="497"/>
      <c r="B46" s="617"/>
      <c r="C46" s="489" t="s">
        <v>43</v>
      </c>
      <c r="D46" s="618" t="s">
        <v>43</v>
      </c>
      <c r="E46" s="619" t="s">
        <v>60</v>
      </c>
      <c r="F46" s="1807">
        <f>SUM(F44:F45)</f>
        <v>40.1</v>
      </c>
    </row>
    <row r="47" spans="1:6" ht="30">
      <c r="A47" s="497"/>
      <c r="B47" s="1808" t="s">
        <v>98</v>
      </c>
      <c r="C47" s="611" t="s">
        <v>51</v>
      </c>
      <c r="D47" s="612" t="s">
        <v>52</v>
      </c>
      <c r="E47" s="613" t="s">
        <v>64</v>
      </c>
      <c r="F47" s="614" t="s">
        <v>54</v>
      </c>
    </row>
    <row r="48" spans="1:6" ht="30" customHeight="1">
      <c r="A48" s="621">
        <v>92794</v>
      </c>
      <c r="B48" s="208" t="s">
        <v>1256</v>
      </c>
      <c r="C48" s="622" t="s">
        <v>104</v>
      </c>
      <c r="D48" s="491">
        <v>1.05</v>
      </c>
      <c r="E48" s="491">
        <v>11.92</v>
      </c>
      <c r="F48" s="616">
        <f>TRUNC((D48*E48),2)</f>
        <v>12.51</v>
      </c>
    </row>
    <row r="49" spans="1:8" ht="25.5">
      <c r="A49" s="621">
        <v>92800</v>
      </c>
      <c r="B49" s="1809" t="s">
        <v>618</v>
      </c>
      <c r="C49" s="622" t="s">
        <v>104</v>
      </c>
      <c r="D49" s="491">
        <v>1.4999999999999999E-2</v>
      </c>
      <c r="E49" s="491">
        <v>12.03</v>
      </c>
      <c r="F49" s="616">
        <f>TRUNC((D49*E49),2)</f>
        <v>0.18</v>
      </c>
    </row>
    <row r="50" spans="1:8">
      <c r="A50" s="621"/>
      <c r="B50" s="689"/>
      <c r="C50" s="622"/>
      <c r="D50" s="491"/>
      <c r="E50" s="619" t="s">
        <v>60</v>
      </c>
      <c r="F50" s="501">
        <f>SUM(F48:F49)</f>
        <v>12.69</v>
      </c>
    </row>
    <row r="51" spans="1:8" ht="30">
      <c r="A51" s="621"/>
      <c r="B51" s="688" t="s">
        <v>1250</v>
      </c>
      <c r="C51" s="611" t="s">
        <v>51</v>
      </c>
      <c r="D51" s="612" t="s">
        <v>52</v>
      </c>
      <c r="E51" s="613" t="s">
        <v>64</v>
      </c>
      <c r="F51" s="614" t="s">
        <v>54</v>
      </c>
    </row>
    <row r="52" spans="1:8" ht="38.25">
      <c r="A52" s="621">
        <v>93287</v>
      </c>
      <c r="B52" s="692" t="s">
        <v>1257</v>
      </c>
      <c r="C52" s="622" t="s">
        <v>488</v>
      </c>
      <c r="D52" s="686">
        <v>1.1299999999999999E-2</v>
      </c>
      <c r="E52" s="860">
        <v>287.39</v>
      </c>
      <c r="F52" s="690">
        <f>D52*E52</f>
        <v>3.2475069999999997</v>
      </c>
    </row>
    <row r="53" spans="1:8">
      <c r="A53" s="621"/>
      <c r="B53" s="687"/>
      <c r="C53" s="622"/>
      <c r="D53" s="491"/>
      <c r="E53" s="619" t="s">
        <v>60</v>
      </c>
      <c r="F53" s="501">
        <f>F52</f>
        <v>3.2475069999999997</v>
      </c>
    </row>
    <row r="54" spans="1:8" ht="30">
      <c r="A54" s="621"/>
      <c r="B54" s="688" t="s">
        <v>1252</v>
      </c>
      <c r="C54" s="611" t="s">
        <v>51</v>
      </c>
      <c r="D54" s="612" t="s">
        <v>52</v>
      </c>
      <c r="E54" s="613" t="s">
        <v>64</v>
      </c>
      <c r="F54" s="614" t="s">
        <v>54</v>
      </c>
    </row>
    <row r="55" spans="1:8" ht="39" thickBot="1">
      <c r="A55" s="1810">
        <v>100263</v>
      </c>
      <c r="B55" s="1380" t="s">
        <v>1819</v>
      </c>
      <c r="C55" s="1811" t="s">
        <v>1820</v>
      </c>
      <c r="D55" s="1812">
        <v>1.0500000000000001E-2</v>
      </c>
      <c r="E55" s="1813">
        <v>1.79</v>
      </c>
      <c r="F55" s="1814">
        <f>(D55*E55)</f>
        <v>1.8795000000000003E-2</v>
      </c>
      <c r="H55" s="862" t="s">
        <v>2393</v>
      </c>
    </row>
    <row r="56" spans="1:8" ht="25.5">
      <c r="A56" s="1815">
        <v>100260</v>
      </c>
      <c r="B56" s="1405" t="s">
        <v>1821</v>
      </c>
      <c r="C56" s="1816" t="s">
        <v>1820</v>
      </c>
      <c r="D56" s="1817">
        <v>2.0000000000000001E-4</v>
      </c>
      <c r="E56" s="1818">
        <v>7.18</v>
      </c>
      <c r="F56" s="1819">
        <f>(D56*E56)</f>
        <v>1.436E-3</v>
      </c>
      <c r="H56" s="862" t="s">
        <v>2394</v>
      </c>
    </row>
    <row r="57" spans="1:8">
      <c r="A57" s="335"/>
      <c r="B57" s="623"/>
      <c r="C57" s="318"/>
      <c r="D57" s="624"/>
      <c r="E57" s="619" t="s">
        <v>60</v>
      </c>
      <c r="F57" s="863">
        <f>SUM(F55:F56)</f>
        <v>2.0231000000000002E-2</v>
      </c>
    </row>
    <row r="58" spans="1:8" ht="15.75" thickBot="1">
      <c r="A58" s="1820"/>
      <c r="B58" s="2210" t="s">
        <v>55</v>
      </c>
      <c r="C58" s="2210"/>
      <c r="D58" s="2210"/>
      <c r="E58" s="2210"/>
      <c r="F58" s="1821">
        <f>F46+F50+F52+F57</f>
        <v>56.057738000000001</v>
      </c>
    </row>
    <row r="59" spans="1:8" ht="16.5" thickBot="1">
      <c r="A59" s="682"/>
      <c r="B59" s="682"/>
      <c r="C59" s="682"/>
      <c r="D59" s="682"/>
      <c r="E59" s="682"/>
      <c r="F59" s="682"/>
    </row>
    <row r="60" spans="1:8" ht="25.5" customHeight="1">
      <c r="A60" s="424" t="s">
        <v>1441</v>
      </c>
      <c r="B60" s="422" t="s">
        <v>1488</v>
      </c>
      <c r="C60" s="152" t="s">
        <v>48</v>
      </c>
      <c r="D60" s="2211"/>
      <c r="E60" s="2212"/>
      <c r="F60" s="155"/>
    </row>
    <row r="61" spans="1:8" ht="15" customHeight="1">
      <c r="A61" s="2207" t="s">
        <v>481</v>
      </c>
      <c r="B61" s="2208"/>
      <c r="C61" s="2208"/>
      <c r="D61" s="2208"/>
      <c r="E61" s="2208"/>
      <c r="F61" s="2209"/>
      <c r="H61" s="425"/>
    </row>
    <row r="62" spans="1:8" ht="30">
      <c r="A62" s="90"/>
      <c r="B62" s="91" t="s">
        <v>58</v>
      </c>
      <c r="C62" s="92" t="s">
        <v>51</v>
      </c>
      <c r="D62" s="93" t="s">
        <v>52</v>
      </c>
      <c r="E62" s="105" t="s">
        <v>64</v>
      </c>
      <c r="F62" s="94" t="s">
        <v>54</v>
      </c>
    </row>
    <row r="63" spans="1:8" ht="18" customHeight="1">
      <c r="A63" s="426" t="s">
        <v>482</v>
      </c>
      <c r="B63" s="401" t="s">
        <v>483</v>
      </c>
      <c r="C63" s="97" t="s">
        <v>59</v>
      </c>
      <c r="D63" s="228">
        <v>0.16</v>
      </c>
      <c r="E63" s="615">
        <v>18.79</v>
      </c>
      <c r="F63" s="229">
        <f>TRUNC((D63*E63),2)</f>
        <v>3</v>
      </c>
    </row>
    <row r="64" spans="1:8">
      <c r="A64" s="426" t="s">
        <v>484</v>
      </c>
      <c r="B64" s="401" t="s">
        <v>468</v>
      </c>
      <c r="C64" s="97" t="s">
        <v>59</v>
      </c>
      <c r="D64" s="228">
        <v>0.16</v>
      </c>
      <c r="E64" s="615">
        <v>22.16</v>
      </c>
      <c r="F64" s="229">
        <f>TRUNC((D64*E64),2)</f>
        <v>3.54</v>
      </c>
    </row>
    <row r="65" spans="1:9">
      <c r="A65" s="426" t="s">
        <v>485</v>
      </c>
      <c r="B65" s="401" t="s">
        <v>107</v>
      </c>
      <c r="C65" s="97" t="s">
        <v>59</v>
      </c>
      <c r="D65" s="427">
        <v>0.35</v>
      </c>
      <c r="E65" s="206">
        <v>22.41</v>
      </c>
      <c r="F65" s="229">
        <f>TRUNC((D65*E65),2)</f>
        <v>7.84</v>
      </c>
    </row>
    <row r="66" spans="1:9">
      <c r="A66" s="426" t="s">
        <v>486</v>
      </c>
      <c r="B66" s="303" t="s">
        <v>68</v>
      </c>
      <c r="C66" s="97" t="s">
        <v>59</v>
      </c>
      <c r="D66" s="427">
        <v>0.35</v>
      </c>
      <c r="E66" s="206">
        <v>17.82</v>
      </c>
      <c r="F66" s="229">
        <f>TRUNC((D66*E66),2)</f>
        <v>6.23</v>
      </c>
    </row>
    <row r="67" spans="1:9">
      <c r="A67" s="95"/>
      <c r="B67" s="96"/>
      <c r="C67" s="97" t="s">
        <v>43</v>
      </c>
      <c r="D67" s="98" t="s">
        <v>43</v>
      </c>
      <c r="E67" s="299" t="s">
        <v>60</v>
      </c>
      <c r="F67" s="1395">
        <f>SUM(F63:F66)</f>
        <v>20.61</v>
      </c>
    </row>
    <row r="68" spans="1:9" ht="30">
      <c r="A68" s="95"/>
      <c r="B68" s="1389" t="s">
        <v>98</v>
      </c>
      <c r="C68" s="92" t="s">
        <v>51</v>
      </c>
      <c r="D68" s="93" t="s">
        <v>52</v>
      </c>
      <c r="E68" s="105" t="s">
        <v>64</v>
      </c>
      <c r="F68" s="94" t="s">
        <v>54</v>
      </c>
    </row>
    <row r="69" spans="1:9" ht="30.75" customHeight="1">
      <c r="A69" s="428">
        <v>94965</v>
      </c>
      <c r="B69" s="401" t="s">
        <v>444</v>
      </c>
      <c r="C69" s="429" t="s">
        <v>49</v>
      </c>
      <c r="D69" s="232">
        <v>3.3000000000000002E-2</v>
      </c>
      <c r="E69" s="228">
        <v>475.49</v>
      </c>
      <c r="F69" s="229">
        <f t="shared" ref="F69:F74" si="0">TRUNC((D69*E69),2)</f>
        <v>15.69</v>
      </c>
    </row>
    <row r="70" spans="1:9" ht="29.25" customHeight="1">
      <c r="A70" s="428">
        <v>103673</v>
      </c>
      <c r="B70" s="401" t="s">
        <v>445</v>
      </c>
      <c r="C70" s="429" t="s">
        <v>49</v>
      </c>
      <c r="D70" s="232">
        <v>3.3000000000000002E-2</v>
      </c>
      <c r="E70" s="228">
        <v>34.11</v>
      </c>
      <c r="F70" s="229">
        <f t="shared" si="0"/>
        <v>1.1200000000000001</v>
      </c>
    </row>
    <row r="71" spans="1:9" ht="39.75" customHeight="1">
      <c r="A71" s="428">
        <v>3742</v>
      </c>
      <c r="B71" s="208" t="s">
        <v>2106</v>
      </c>
      <c r="C71" s="429" t="s">
        <v>48</v>
      </c>
      <c r="D71" s="232">
        <v>1</v>
      </c>
      <c r="E71" s="228">
        <v>107.78</v>
      </c>
      <c r="F71" s="229">
        <f t="shared" si="0"/>
        <v>107.78</v>
      </c>
      <c r="H71" s="730"/>
      <c r="I71" s="324"/>
    </row>
    <row r="72" spans="1:9" ht="28.5" customHeight="1">
      <c r="A72" s="428">
        <v>4491</v>
      </c>
      <c r="B72" s="692" t="s">
        <v>1489</v>
      </c>
      <c r="C72" s="429" t="s">
        <v>56</v>
      </c>
      <c r="D72" s="232">
        <v>0.28999999999999998</v>
      </c>
      <c r="E72" s="228">
        <v>9.0399999999999991</v>
      </c>
      <c r="F72" s="229">
        <f t="shared" si="0"/>
        <v>2.62</v>
      </c>
    </row>
    <row r="73" spans="1:9" ht="18.75" customHeight="1">
      <c r="A73" s="428">
        <v>5061</v>
      </c>
      <c r="B73" s="731" t="s">
        <v>1490</v>
      </c>
      <c r="C73" s="429" t="s">
        <v>104</v>
      </c>
      <c r="D73" s="232">
        <v>0.03</v>
      </c>
      <c r="E73" s="228">
        <v>25.15</v>
      </c>
      <c r="F73" s="229">
        <f t="shared" si="0"/>
        <v>0.75</v>
      </c>
    </row>
    <row r="74" spans="1:9" ht="25.5">
      <c r="A74" s="428">
        <v>6189</v>
      </c>
      <c r="B74" s="692" t="s">
        <v>1491</v>
      </c>
      <c r="C74" s="429" t="s">
        <v>56</v>
      </c>
      <c r="D74" s="232">
        <v>0.17</v>
      </c>
      <c r="E74" s="228">
        <v>23.78</v>
      </c>
      <c r="F74" s="229">
        <f t="shared" si="0"/>
        <v>4.04</v>
      </c>
      <c r="H74" s="430"/>
    </row>
    <row r="75" spans="1:9">
      <c r="A75" s="138"/>
      <c r="B75" s="194"/>
      <c r="C75" s="146"/>
      <c r="D75" s="195"/>
      <c r="E75" s="299" t="s">
        <v>60</v>
      </c>
      <c r="F75" s="94">
        <f>SUM(F69:F74)</f>
        <v>132</v>
      </c>
    </row>
    <row r="76" spans="1:9" ht="15.75" thickBot="1">
      <c r="A76" s="1377"/>
      <c r="B76" s="2123" t="s">
        <v>55</v>
      </c>
      <c r="C76" s="2123"/>
      <c r="D76" s="2123"/>
      <c r="E76" s="2123"/>
      <c r="F76" s="1391">
        <f>F67+F75</f>
        <v>152.61000000000001</v>
      </c>
    </row>
    <row r="77" spans="1:9" ht="30.75" customHeight="1" thickBot="1">
      <c r="A77" s="2196" t="s">
        <v>1497</v>
      </c>
      <c r="B77" s="2197"/>
      <c r="C77" s="2197"/>
      <c r="D77" s="2197"/>
      <c r="E77" s="2197"/>
      <c r="F77" s="2198"/>
    </row>
    <row r="78" spans="1:9" ht="15.75" thickBot="1"/>
    <row r="79" spans="1:9" ht="42" customHeight="1">
      <c r="A79" s="424" t="s">
        <v>1442</v>
      </c>
      <c r="B79" s="835" t="s">
        <v>1421</v>
      </c>
      <c r="C79" s="717" t="s">
        <v>1225</v>
      </c>
      <c r="D79" s="718"/>
      <c r="E79" s="719"/>
      <c r="F79" s="720"/>
    </row>
    <row r="80" spans="1:9">
      <c r="A80" s="2185" t="s">
        <v>1443</v>
      </c>
      <c r="B80" s="2199"/>
      <c r="C80" s="2199"/>
      <c r="D80" s="2199"/>
      <c r="E80" s="2199"/>
      <c r="F80" s="2200"/>
    </row>
    <row r="81" spans="1:8" ht="24">
      <c r="A81" s="721"/>
      <c r="B81" s="714" t="s">
        <v>50</v>
      </c>
      <c r="C81" s="722" t="s">
        <v>51</v>
      </c>
      <c r="D81" s="723" t="s">
        <v>52</v>
      </c>
      <c r="E81" s="724" t="s">
        <v>53</v>
      </c>
      <c r="F81" s="725" t="s">
        <v>54</v>
      </c>
    </row>
    <row r="82" spans="1:8">
      <c r="A82" s="138">
        <v>88315</v>
      </c>
      <c r="B82" s="101" t="s">
        <v>1422</v>
      </c>
      <c r="C82" s="823" t="s">
        <v>433</v>
      </c>
      <c r="D82" s="824">
        <v>0.02</v>
      </c>
      <c r="E82" s="228">
        <v>22.28</v>
      </c>
      <c r="F82" s="464">
        <f t="shared" ref="F82:F87" si="1">TRUNC(D82*E82,2)</f>
        <v>0.44</v>
      </c>
    </row>
    <row r="83" spans="1:8" ht="25.5">
      <c r="A83" s="138">
        <v>88251</v>
      </c>
      <c r="B83" s="101" t="s">
        <v>1423</v>
      </c>
      <c r="C83" s="823" t="s">
        <v>433</v>
      </c>
      <c r="D83" s="824">
        <v>0.02</v>
      </c>
      <c r="E83" s="228">
        <v>18.88</v>
      </c>
      <c r="F83" s="464">
        <f t="shared" si="1"/>
        <v>0.37</v>
      </c>
    </row>
    <row r="84" spans="1:8">
      <c r="A84" s="138">
        <v>88310</v>
      </c>
      <c r="B84" s="101" t="s">
        <v>132</v>
      </c>
      <c r="C84" s="823" t="s">
        <v>433</v>
      </c>
      <c r="D84" s="824">
        <v>3.0000000000000001E-3</v>
      </c>
      <c r="E84" s="228">
        <v>23.47</v>
      </c>
      <c r="F84" s="464">
        <f t="shared" si="1"/>
        <v>7.0000000000000007E-2</v>
      </c>
    </row>
    <row r="85" spans="1:8">
      <c r="A85" s="138">
        <v>100301</v>
      </c>
      <c r="B85" s="101" t="s">
        <v>1424</v>
      </c>
      <c r="C85" s="823" t="s">
        <v>433</v>
      </c>
      <c r="D85" s="824">
        <v>3.0000000000000001E-3</v>
      </c>
      <c r="E85" s="228">
        <v>20.059999999999999</v>
      </c>
      <c r="F85" s="464">
        <f t="shared" si="1"/>
        <v>0.06</v>
      </c>
      <c r="H85" s="558"/>
    </row>
    <row r="86" spans="1:8" ht="25.5">
      <c r="A86" s="138">
        <v>88240</v>
      </c>
      <c r="B86" s="101" t="s">
        <v>1425</v>
      </c>
      <c r="C86" s="823" t="s">
        <v>433</v>
      </c>
      <c r="D86" s="824">
        <v>0.04</v>
      </c>
      <c r="E86" s="228">
        <v>13.11</v>
      </c>
      <c r="F86" s="464">
        <f t="shared" si="1"/>
        <v>0.52</v>
      </c>
    </row>
    <row r="87" spans="1:8">
      <c r="A87" s="138">
        <v>88317</v>
      </c>
      <c r="B87" s="101" t="s">
        <v>1426</v>
      </c>
      <c r="C87" s="823" t="s">
        <v>433</v>
      </c>
      <c r="D87" s="824">
        <v>0.04</v>
      </c>
      <c r="E87" s="228">
        <v>23.1</v>
      </c>
      <c r="F87" s="464">
        <f t="shared" si="1"/>
        <v>0.92</v>
      </c>
    </row>
    <row r="88" spans="1:8">
      <c r="A88" s="358"/>
      <c r="B88" s="825"/>
      <c r="C88" s="823"/>
      <c r="D88" s="826"/>
      <c r="E88" s="442" t="s">
        <v>60</v>
      </c>
      <c r="F88" s="466">
        <f>SUM(F82:F87)</f>
        <v>2.3800000000000003</v>
      </c>
    </row>
    <row r="89" spans="1:8" ht="25.5">
      <c r="A89" s="827" t="s">
        <v>1427</v>
      </c>
      <c r="B89" s="828" t="s">
        <v>1428</v>
      </c>
      <c r="C89" s="829" t="s">
        <v>51</v>
      </c>
      <c r="D89" s="830" t="s">
        <v>52</v>
      </c>
      <c r="E89" s="831" t="s">
        <v>53</v>
      </c>
      <c r="F89" s="832" t="s">
        <v>54</v>
      </c>
    </row>
    <row r="90" spans="1:8" ht="38.25">
      <c r="A90" s="138">
        <v>98764</v>
      </c>
      <c r="B90" s="101" t="s">
        <v>1429</v>
      </c>
      <c r="C90" s="823" t="s">
        <v>488</v>
      </c>
      <c r="D90" s="824">
        <v>0.04</v>
      </c>
      <c r="E90" s="228">
        <v>4.4000000000000004</v>
      </c>
      <c r="F90" s="464">
        <f t="shared" ref="F90:F95" si="2">TRUNC(D90*E90,2)</f>
        <v>0.17</v>
      </c>
    </row>
    <row r="91" spans="1:8" ht="43.5" customHeight="1">
      <c r="A91" s="138">
        <v>98765</v>
      </c>
      <c r="B91" s="101" t="s">
        <v>1430</v>
      </c>
      <c r="C91" s="823" t="s">
        <v>616</v>
      </c>
      <c r="D91" s="824">
        <v>0.04</v>
      </c>
      <c r="E91" s="228">
        <v>0.11</v>
      </c>
      <c r="F91" s="464">
        <f>ROUNDUP(D91*E91,2)</f>
        <v>0.01</v>
      </c>
    </row>
    <row r="92" spans="1:8" ht="25.5">
      <c r="A92" s="138">
        <v>43083</v>
      </c>
      <c r="B92" s="101" t="s">
        <v>1431</v>
      </c>
      <c r="C92" s="823" t="s">
        <v>1432</v>
      </c>
      <c r="D92" s="824">
        <v>0.52500000000000002</v>
      </c>
      <c r="E92" s="228">
        <v>11.69</v>
      </c>
      <c r="F92" s="464">
        <f t="shared" si="2"/>
        <v>6.13</v>
      </c>
    </row>
    <row r="93" spans="1:8">
      <c r="A93" s="138">
        <v>546</v>
      </c>
      <c r="B93" s="101" t="s">
        <v>1433</v>
      </c>
      <c r="C93" s="823" t="s">
        <v>1432</v>
      </c>
      <c r="D93" s="824">
        <v>0.52500000000000002</v>
      </c>
      <c r="E93" s="228">
        <v>13.87</v>
      </c>
      <c r="F93" s="464">
        <f t="shared" si="2"/>
        <v>7.28</v>
      </c>
    </row>
    <row r="94" spans="1:8" ht="15" customHeight="1">
      <c r="A94" s="138">
        <v>7307</v>
      </c>
      <c r="B94" s="101" t="s">
        <v>1434</v>
      </c>
      <c r="C94" s="823" t="s">
        <v>1435</v>
      </c>
      <c r="D94" s="824">
        <v>2.5000000000000001E-3</v>
      </c>
      <c r="E94" s="228">
        <v>35.950000000000003</v>
      </c>
      <c r="F94" s="464">
        <f t="shared" si="2"/>
        <v>0.08</v>
      </c>
    </row>
    <row r="95" spans="1:8" ht="17.25" customHeight="1">
      <c r="A95" s="138">
        <v>10997</v>
      </c>
      <c r="B95" s="101" t="s">
        <v>1436</v>
      </c>
      <c r="C95" s="823" t="s">
        <v>1432</v>
      </c>
      <c r="D95" s="824">
        <v>1.2999999999999999E-2</v>
      </c>
      <c r="E95" s="228">
        <v>29.2</v>
      </c>
      <c r="F95" s="464">
        <f t="shared" si="2"/>
        <v>0.37</v>
      </c>
    </row>
    <row r="96" spans="1:8">
      <c r="A96" s="138">
        <v>5318</v>
      </c>
      <c r="B96" s="101" t="s">
        <v>1437</v>
      </c>
      <c r="C96" s="823" t="s">
        <v>1435</v>
      </c>
      <c r="D96" s="824">
        <v>2.9999999999999997E-4</v>
      </c>
      <c r="E96" s="228">
        <v>13.98</v>
      </c>
      <c r="F96" s="464">
        <f>ROUNDUP(D96*E96,2)</f>
        <v>0.01</v>
      </c>
    </row>
    <row r="97" spans="1:6" ht="15.75" thickBot="1">
      <c r="A97" s="1823"/>
      <c r="B97" s="1824"/>
      <c r="C97" s="1825"/>
      <c r="D97" s="1826"/>
      <c r="E97" s="1827" t="s">
        <v>60</v>
      </c>
      <c r="F97" s="1828">
        <f>SUM(F90:F96)</f>
        <v>14.049999999999999</v>
      </c>
    </row>
    <row r="98" spans="1:6" ht="15.75" thickBot="1">
      <c r="A98" s="1822"/>
      <c r="B98" s="2201" t="s">
        <v>55</v>
      </c>
      <c r="C98" s="2201"/>
      <c r="D98" s="2201"/>
      <c r="E98" s="2201"/>
      <c r="F98" s="1536">
        <f>F88+F97</f>
        <v>16.43</v>
      </c>
    </row>
    <row r="99" spans="1:6" ht="15.75" thickBot="1">
      <c r="A99" s="726"/>
      <c r="B99" s="726"/>
      <c r="C99" s="726"/>
      <c r="D99" s="726"/>
      <c r="E99" s="726"/>
      <c r="F99" s="726"/>
    </row>
    <row r="100" spans="1:6">
      <c r="A100" s="424" t="s">
        <v>1453</v>
      </c>
      <c r="B100" s="835" t="s">
        <v>1438</v>
      </c>
      <c r="C100" s="354" t="s">
        <v>1225</v>
      </c>
      <c r="D100" s="836"/>
      <c r="E100" s="837"/>
      <c r="F100" s="838"/>
    </row>
    <row r="101" spans="1:6">
      <c r="A101" s="2185" t="s">
        <v>1455</v>
      </c>
      <c r="B101" s="2199"/>
      <c r="C101" s="2199"/>
      <c r="D101" s="2199"/>
      <c r="E101" s="2199"/>
      <c r="F101" s="2200"/>
    </row>
    <row r="102" spans="1:6" ht="25.5">
      <c r="A102" s="839"/>
      <c r="B102" s="828" t="s">
        <v>50</v>
      </c>
      <c r="C102" s="829" t="s">
        <v>51</v>
      </c>
      <c r="D102" s="830" t="s">
        <v>52</v>
      </c>
      <c r="E102" s="831" t="s">
        <v>53</v>
      </c>
      <c r="F102" s="832" t="s">
        <v>54</v>
      </c>
    </row>
    <row r="103" spans="1:6" ht="25.5">
      <c r="A103" s="727">
        <v>88278</v>
      </c>
      <c r="B103" s="101" t="s">
        <v>1439</v>
      </c>
      <c r="C103" s="823" t="s">
        <v>433</v>
      </c>
      <c r="D103" s="824">
        <v>0.02</v>
      </c>
      <c r="E103" s="228">
        <v>16.13</v>
      </c>
      <c r="F103" s="464">
        <f>TRUNC(D103*E103,2)</f>
        <v>0.32</v>
      </c>
    </row>
    <row r="104" spans="1:6" ht="25.5">
      <c r="A104" s="727">
        <v>88240</v>
      </c>
      <c r="B104" s="101" t="s">
        <v>1425</v>
      </c>
      <c r="C104" s="823" t="s">
        <v>433</v>
      </c>
      <c r="D104" s="824">
        <v>0.06</v>
      </c>
      <c r="E104" s="228">
        <v>13.11</v>
      </c>
      <c r="F104" s="464">
        <f>TRUNC(D104*E104,2)</f>
        <v>0.78</v>
      </c>
    </row>
    <row r="105" spans="1:6" ht="15.75" thickBot="1">
      <c r="A105" s="1823"/>
      <c r="B105" s="1824"/>
      <c r="C105" s="1825"/>
      <c r="D105" s="1826"/>
      <c r="E105" s="1827" t="s">
        <v>60</v>
      </c>
      <c r="F105" s="1828">
        <f>SUM(F103:F104)</f>
        <v>1.1000000000000001</v>
      </c>
    </row>
    <row r="106" spans="1:6" ht="25.5">
      <c r="A106" s="1829" t="s">
        <v>1427</v>
      </c>
      <c r="B106" s="1830" t="s">
        <v>1428</v>
      </c>
      <c r="C106" s="1831" t="s">
        <v>51</v>
      </c>
      <c r="D106" s="1832" t="s">
        <v>52</v>
      </c>
      <c r="E106" s="1833" t="s">
        <v>53</v>
      </c>
      <c r="F106" s="847" t="s">
        <v>54</v>
      </c>
    </row>
    <row r="107" spans="1:6" ht="38.25">
      <c r="A107" s="138">
        <v>89272</v>
      </c>
      <c r="B107" s="101" t="s">
        <v>1440</v>
      </c>
      <c r="C107" s="823" t="s">
        <v>488</v>
      </c>
      <c r="D107" s="824">
        <v>0.01</v>
      </c>
      <c r="E107" s="228">
        <v>181.62</v>
      </c>
      <c r="F107" s="464">
        <f>TRUNC(D107*E107,2)</f>
        <v>1.81</v>
      </c>
    </row>
    <row r="108" spans="1:6">
      <c r="A108" s="358"/>
      <c r="B108" s="825"/>
      <c r="C108" s="823"/>
      <c r="D108" s="826"/>
      <c r="E108" s="442" t="s">
        <v>60</v>
      </c>
      <c r="F108" s="466">
        <f>SUM(F107:F107)</f>
        <v>1.81</v>
      </c>
    </row>
    <row r="109" spans="1:6" ht="15.75" thickBot="1">
      <c r="A109" s="833"/>
      <c r="B109" s="2184" t="s">
        <v>55</v>
      </c>
      <c r="C109" s="2184"/>
      <c r="D109" s="2184"/>
      <c r="E109" s="2184"/>
      <c r="F109" s="834">
        <f>F105+F108</f>
        <v>2.91</v>
      </c>
    </row>
    <row r="110" spans="1:6" ht="15.75" thickBot="1"/>
    <row r="111" spans="1:6" ht="25.5">
      <c r="A111" s="424" t="s">
        <v>1454</v>
      </c>
      <c r="B111" s="835" t="s">
        <v>1444</v>
      </c>
      <c r="C111" s="354" t="s">
        <v>1445</v>
      </c>
      <c r="D111" s="836"/>
      <c r="E111" s="837"/>
      <c r="F111" s="838"/>
    </row>
    <row r="112" spans="1:6">
      <c r="A112" s="2185" t="s">
        <v>1456</v>
      </c>
      <c r="B112" s="2186"/>
      <c r="C112" s="2186"/>
      <c r="D112" s="2186"/>
      <c r="E112" s="2186"/>
      <c r="F112" s="2187"/>
    </row>
    <row r="113" spans="1:8" ht="25.5">
      <c r="A113" s="839"/>
      <c r="B113" s="828" t="s">
        <v>50</v>
      </c>
      <c r="C113" s="829" t="s">
        <v>51</v>
      </c>
      <c r="D113" s="830" t="s">
        <v>52</v>
      </c>
      <c r="E113" s="831" t="s">
        <v>53</v>
      </c>
      <c r="F113" s="832" t="s">
        <v>54</v>
      </c>
    </row>
    <row r="114" spans="1:8">
      <c r="A114" s="727">
        <v>88309</v>
      </c>
      <c r="B114" s="101" t="s">
        <v>107</v>
      </c>
      <c r="C114" s="823" t="s">
        <v>433</v>
      </c>
      <c r="D114" s="824">
        <v>0.15</v>
      </c>
      <c r="E114" s="228">
        <v>22.41</v>
      </c>
      <c r="F114" s="464">
        <f>TRUNC(D114*E114,2)</f>
        <v>3.36</v>
      </c>
    </row>
    <row r="115" spans="1:8">
      <c r="A115" s="138">
        <v>88316</v>
      </c>
      <c r="B115" s="101" t="s">
        <v>68</v>
      </c>
      <c r="C115" s="823" t="s">
        <v>433</v>
      </c>
      <c r="D115" s="840">
        <v>0.15</v>
      </c>
      <c r="E115" s="841">
        <v>17.82</v>
      </c>
      <c r="F115" s="464">
        <f>TRUNC(D115*E115,2)</f>
        <v>2.67</v>
      </c>
    </row>
    <row r="116" spans="1:8">
      <c r="A116" s="358"/>
      <c r="B116" s="825"/>
      <c r="C116" s="823"/>
      <c r="D116" s="826"/>
      <c r="E116" s="442" t="s">
        <v>60</v>
      </c>
      <c r="F116" s="466">
        <f>SUM(F114:F115)</f>
        <v>6.0299999999999994</v>
      </c>
    </row>
    <row r="117" spans="1:8" ht="25.5">
      <c r="A117" s="827" t="s">
        <v>1427</v>
      </c>
      <c r="B117" s="828" t="s">
        <v>1428</v>
      </c>
      <c r="C117" s="829" t="s">
        <v>51</v>
      </c>
      <c r="D117" s="830" t="s">
        <v>52</v>
      </c>
      <c r="E117" s="831" t="s">
        <v>53</v>
      </c>
      <c r="F117" s="832" t="s">
        <v>54</v>
      </c>
    </row>
    <row r="118" spans="1:8" ht="25.5">
      <c r="A118" s="138" t="s">
        <v>67</v>
      </c>
      <c r="B118" s="101" t="s">
        <v>1446</v>
      </c>
      <c r="C118" s="823" t="s">
        <v>1445</v>
      </c>
      <c r="D118" s="824">
        <v>1</v>
      </c>
      <c r="E118" s="228">
        <f>C125</f>
        <v>2.1800000000000002</v>
      </c>
      <c r="F118" s="464">
        <f>TRUNC(D118*E118,2)</f>
        <v>2.1800000000000002</v>
      </c>
    </row>
    <row r="119" spans="1:8">
      <c r="A119" s="358"/>
      <c r="B119" s="825"/>
      <c r="C119" s="823"/>
      <c r="D119" s="826"/>
      <c r="E119" s="442" t="s">
        <v>60</v>
      </c>
      <c r="F119" s="466">
        <f>SUM(F118:F118)</f>
        <v>2.1800000000000002</v>
      </c>
    </row>
    <row r="120" spans="1:8" ht="15.75" thickBot="1">
      <c r="A120" s="833"/>
      <c r="B120" s="2184" t="s">
        <v>55</v>
      </c>
      <c r="C120" s="2184"/>
      <c r="D120" s="2184"/>
      <c r="E120" s="2184"/>
      <c r="F120" s="834">
        <f>F116+F119</f>
        <v>8.2099999999999991</v>
      </c>
    </row>
    <row r="121" spans="1:8" ht="15.75" thickBot="1">
      <c r="A121" s="842"/>
      <c r="B121" s="2095" t="s">
        <v>99</v>
      </c>
      <c r="C121" s="2096"/>
      <c r="D121" s="2096"/>
      <c r="E121" s="2097"/>
      <c r="F121" s="843"/>
    </row>
    <row r="122" spans="1:8" ht="25.5">
      <c r="A122" s="844" t="s">
        <v>316</v>
      </c>
      <c r="B122" s="845" t="str">
        <f>B118</f>
        <v xml:space="preserve">PARAFUSO DE ACO TIPO CHUMBADOR PARABOLT, WALSYWA CBPL 14300 1/4" </v>
      </c>
      <c r="C122" s="846" t="str">
        <f>C118</f>
        <v xml:space="preserve">UN </v>
      </c>
      <c r="D122" s="2188" t="s">
        <v>62</v>
      </c>
      <c r="E122" s="2189"/>
      <c r="F122" s="847" t="s">
        <v>1447</v>
      </c>
    </row>
    <row r="123" spans="1:8">
      <c r="A123" s="227" t="s">
        <v>2418</v>
      </c>
      <c r="B123" s="848" t="s">
        <v>1448</v>
      </c>
      <c r="C123" s="826">
        <f>TRUNC(437.29/200,2)</f>
        <v>2.1800000000000002</v>
      </c>
      <c r="D123" s="2190" t="s">
        <v>1449</v>
      </c>
      <c r="E123" s="2191"/>
      <c r="F123" s="849" t="s">
        <v>1450</v>
      </c>
    </row>
    <row r="124" spans="1:8" ht="25.5">
      <c r="A124" s="227"/>
      <c r="B124" s="101" t="s">
        <v>1451</v>
      </c>
      <c r="C124" s="826"/>
      <c r="D124" s="2192" t="s">
        <v>2269</v>
      </c>
      <c r="E124" s="2193"/>
      <c r="F124" s="849"/>
      <c r="H124" s="1495"/>
    </row>
    <row r="125" spans="1:8" ht="15.75" thickBot="1">
      <c r="A125" s="850"/>
      <c r="B125" s="851" t="s">
        <v>63</v>
      </c>
      <c r="C125" s="852">
        <f>MEDIAN(C123:C124)</f>
        <v>2.1800000000000002</v>
      </c>
      <c r="D125" s="2194"/>
      <c r="E125" s="2195"/>
      <c r="F125" s="853"/>
    </row>
    <row r="126" spans="1:8" ht="27" customHeight="1" thickBot="1">
      <c r="A126" s="2181" t="s">
        <v>1452</v>
      </c>
      <c r="B126" s="2182"/>
      <c r="C126" s="2182"/>
      <c r="D126" s="2182"/>
      <c r="E126" s="2182"/>
      <c r="F126" s="2183"/>
    </row>
    <row r="127" spans="1:8" ht="42.75" customHeight="1" thickBot="1">
      <c r="A127" s="2124" t="s">
        <v>145</v>
      </c>
      <c r="B127" s="2125"/>
      <c r="C127" s="2036" t="s">
        <v>124</v>
      </c>
      <c r="D127" s="2036"/>
      <c r="E127" s="2036"/>
      <c r="F127" s="2037"/>
    </row>
    <row r="134" spans="8:8" ht="31.5" customHeight="1"/>
    <row r="141" spans="8:8">
      <c r="H141" s="126" t="s">
        <v>1255</v>
      </c>
    </row>
  </sheetData>
  <mergeCells count="32">
    <mergeCell ref="D30:E30"/>
    <mergeCell ref="D41:E41"/>
    <mergeCell ref="A31:F31"/>
    <mergeCell ref="B39:E39"/>
    <mergeCell ref="A61:F61"/>
    <mergeCell ref="A77:F77"/>
    <mergeCell ref="A80:F80"/>
    <mergeCell ref="B98:E98"/>
    <mergeCell ref="A101:F101"/>
    <mergeCell ref="B3:F3"/>
    <mergeCell ref="B4:F4"/>
    <mergeCell ref="B5:F5"/>
    <mergeCell ref="A14:F14"/>
    <mergeCell ref="D15:E15"/>
    <mergeCell ref="A42:F42"/>
    <mergeCell ref="B58:E58"/>
    <mergeCell ref="B76:E76"/>
    <mergeCell ref="D60:E60"/>
    <mergeCell ref="A16:F16"/>
    <mergeCell ref="B28:E28"/>
    <mergeCell ref="B29:E29"/>
    <mergeCell ref="A127:B127"/>
    <mergeCell ref="C127:F127"/>
    <mergeCell ref="A126:F126"/>
    <mergeCell ref="B121:E121"/>
    <mergeCell ref="B109:E109"/>
    <mergeCell ref="A112:F112"/>
    <mergeCell ref="B120:E120"/>
    <mergeCell ref="D122:E122"/>
    <mergeCell ref="D123:E123"/>
    <mergeCell ref="D124:E124"/>
    <mergeCell ref="D125:E125"/>
  </mergeCells>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18:A19 A33:A34 A63:A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9"/>
  <sheetViews>
    <sheetView topLeftCell="A553" zoomScale="90" zoomScaleNormal="90" workbookViewId="0">
      <selection activeCell="E563" sqref="E563"/>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0.5703125" customWidth="1"/>
    <col min="9" max="9" width="29.42578125" customWidth="1"/>
  </cols>
  <sheetData>
    <row r="1" spans="1:9">
      <c r="A1" s="134"/>
      <c r="B1" s="135"/>
      <c r="C1" s="135"/>
      <c r="D1" s="135"/>
      <c r="E1" s="135"/>
      <c r="F1" s="136"/>
    </row>
    <row r="2" spans="1:9">
      <c r="A2" s="129"/>
      <c r="B2" s="45"/>
      <c r="C2" s="45"/>
      <c r="D2" s="45"/>
      <c r="E2" s="45"/>
      <c r="F2" s="130"/>
    </row>
    <row r="3" spans="1:9">
      <c r="A3" s="129"/>
      <c r="B3" s="2136" t="s">
        <v>135</v>
      </c>
      <c r="C3" s="2136"/>
      <c r="D3" s="2136"/>
      <c r="E3" s="2136"/>
      <c r="F3" s="2137"/>
    </row>
    <row r="4" spans="1:9">
      <c r="A4" s="129"/>
      <c r="B4" s="2136" t="s">
        <v>136</v>
      </c>
      <c r="C4" s="2136"/>
      <c r="D4" s="2136"/>
      <c r="E4" s="2136"/>
      <c r="F4" s="2137"/>
    </row>
    <row r="5" spans="1:9">
      <c r="A5" s="129"/>
      <c r="B5" s="2145" t="s">
        <v>296</v>
      </c>
      <c r="C5" s="2145"/>
      <c r="D5" s="2145"/>
      <c r="E5" s="2145"/>
      <c r="F5" s="2146"/>
    </row>
    <row r="6" spans="1:9" ht="15.75" thickBot="1">
      <c r="A6" s="1492"/>
      <c r="B6" s="1834"/>
      <c r="C6" s="1834"/>
      <c r="D6" s="1834"/>
      <c r="E6" s="1834"/>
      <c r="F6" s="1835"/>
    </row>
    <row r="7" spans="1:9" ht="3" customHeight="1" thickBot="1"/>
    <row r="8" spans="1:9">
      <c r="A8" s="248" t="s">
        <v>0</v>
      </c>
      <c r="B8" s="135" t="str">
        <f>'PLANILHA SEM DESON'!B8:C8</f>
        <v>364778/2019</v>
      </c>
      <c r="C8" s="135"/>
      <c r="D8" s="135"/>
      <c r="E8" s="249" t="s">
        <v>139</v>
      </c>
      <c r="F8" s="695">
        <f>'PLANILHA SEM DESON'!I11</f>
        <v>44412</v>
      </c>
    </row>
    <row r="9" spans="1:9">
      <c r="A9" s="218" t="s">
        <v>1</v>
      </c>
      <c r="B9" s="45" t="str">
        <f>'PLANILHA SEM DESON'!B9:C9</f>
        <v>CONSTRUÇÃO DE DIRETORIA DE UNIDADE DESCONCENTRADA DA SEMA - DUDS</v>
      </c>
      <c r="C9" s="45"/>
      <c r="D9" s="45"/>
      <c r="E9" s="45"/>
      <c r="F9" s="130"/>
    </row>
    <row r="10" spans="1:9">
      <c r="A10" s="218" t="s">
        <v>2</v>
      </c>
      <c r="B10" s="45" t="str">
        <f>'PLANILHA SEM DESON'!B10:C10</f>
        <v>RUA 24 A - JARDIM TANGARA II</v>
      </c>
      <c r="C10" s="45"/>
      <c r="D10" s="45"/>
      <c r="E10" s="45"/>
      <c r="F10" s="130"/>
    </row>
    <row r="11" spans="1:9">
      <c r="A11" s="218" t="s">
        <v>4</v>
      </c>
      <c r="B11" s="45" t="str">
        <f>'PLANILHA SEM DESON'!B11:C11</f>
        <v>TANGARÁ DA SERRA - MT</v>
      </c>
      <c r="C11" s="45"/>
      <c r="D11" s="45"/>
      <c r="E11" s="45"/>
      <c r="F11" s="130"/>
    </row>
    <row r="12" spans="1:9" ht="15.75" thickBot="1">
      <c r="A12" s="1836" t="s">
        <v>6</v>
      </c>
      <c r="B12" s="1834" t="str">
        <f>'PLANILHA SEM DESON'!B12</f>
        <v xml:space="preserve">CONSTRUÇÃO </v>
      </c>
      <c r="C12" s="1834"/>
      <c r="D12" s="1834"/>
      <c r="E12" s="1834"/>
      <c r="F12" s="1835"/>
    </row>
    <row r="13" spans="1:9" ht="6" customHeight="1" thickBot="1">
      <c r="A13" s="45"/>
    </row>
    <row r="14" spans="1:9" ht="16.5" thickBot="1">
      <c r="A14" s="2241" t="s">
        <v>531</v>
      </c>
      <c r="B14" s="2242"/>
      <c r="C14" s="2242"/>
      <c r="D14" s="2242"/>
      <c r="E14" s="2242"/>
      <c r="F14" s="2243"/>
    </row>
    <row r="15" spans="1:9" ht="15.75" thickBot="1">
      <c r="A15" s="461" t="s">
        <v>532</v>
      </c>
      <c r="B15" s="462" t="s">
        <v>533</v>
      </c>
      <c r="C15" s="191" t="s">
        <v>57</v>
      </c>
      <c r="D15" s="224"/>
      <c r="E15" s="224"/>
      <c r="F15" s="225"/>
      <c r="H15" s="1513" t="s">
        <v>489</v>
      </c>
      <c r="I15" s="780"/>
    </row>
    <row r="16" spans="1:9">
      <c r="A16" s="2231" t="s">
        <v>534</v>
      </c>
      <c r="B16" s="2232"/>
      <c r="C16" s="2232"/>
      <c r="D16" s="2232"/>
      <c r="E16" s="2232"/>
      <c r="F16" s="2233"/>
    </row>
    <row r="17" spans="1:9" ht="30">
      <c r="A17" s="78"/>
      <c r="B17" s="79" t="s">
        <v>50</v>
      </c>
      <c r="C17" s="80" t="s">
        <v>51</v>
      </c>
      <c r="D17" s="81" t="s">
        <v>52</v>
      </c>
      <c r="E17" s="82" t="s">
        <v>53</v>
      </c>
      <c r="F17" s="83" t="s">
        <v>54</v>
      </c>
      <c r="I17" s="780" t="s">
        <v>1620</v>
      </c>
    </row>
    <row r="18" spans="1:9">
      <c r="A18" s="358">
        <v>88264</v>
      </c>
      <c r="B18" s="101" t="s">
        <v>97</v>
      </c>
      <c r="C18" s="97" t="s">
        <v>59</v>
      </c>
      <c r="D18" s="232">
        <v>0.15</v>
      </c>
      <c r="E18" s="228">
        <v>23.24</v>
      </c>
      <c r="F18" s="464">
        <f>TRUNC(D18*E18,2)</f>
        <v>3.48</v>
      </c>
    </row>
    <row r="19" spans="1:9" ht="25.5">
      <c r="A19" s="138">
        <v>88247</v>
      </c>
      <c r="B19" s="101" t="s">
        <v>96</v>
      </c>
      <c r="C19" s="97" t="s">
        <v>59</v>
      </c>
      <c r="D19" s="232">
        <v>0.15</v>
      </c>
      <c r="E19" s="1422">
        <v>19.2</v>
      </c>
      <c r="F19" s="464">
        <f>TRUNC(D19*E19,2)</f>
        <v>2.88</v>
      </c>
    </row>
    <row r="20" spans="1:9">
      <c r="A20" s="776"/>
      <c r="B20" s="222"/>
      <c r="C20" s="87"/>
      <c r="D20" s="88"/>
      <c r="E20" s="1534" t="s">
        <v>60</v>
      </c>
      <c r="F20" s="89">
        <f>SUM(F18:F19)</f>
        <v>6.3599999999999994</v>
      </c>
    </row>
    <row r="21" spans="1:9" ht="30">
      <c r="A21" s="391"/>
      <c r="B21" s="1389" t="s">
        <v>98</v>
      </c>
      <c r="C21" s="92" t="s">
        <v>51</v>
      </c>
      <c r="D21" s="93" t="s">
        <v>52</v>
      </c>
      <c r="E21" s="105" t="s">
        <v>64</v>
      </c>
      <c r="F21" s="94" t="s">
        <v>54</v>
      </c>
    </row>
    <row r="22" spans="1:9">
      <c r="A22" s="138">
        <v>39601</v>
      </c>
      <c r="B22" s="401" t="s">
        <v>533</v>
      </c>
      <c r="C22" s="97" t="s">
        <v>57</v>
      </c>
      <c r="D22" s="465">
        <v>1</v>
      </c>
      <c r="E22" s="1422">
        <v>23.87</v>
      </c>
      <c r="F22" s="464">
        <f>TRUNC(D22*E22,2)</f>
        <v>23.87</v>
      </c>
    </row>
    <row r="23" spans="1:9" ht="15.75" thickBot="1">
      <c r="A23" s="1837"/>
      <c r="B23" s="1838"/>
      <c r="C23" s="1839"/>
      <c r="D23" s="1840"/>
      <c r="E23" s="1534" t="s">
        <v>60</v>
      </c>
      <c r="F23" s="1395">
        <f>SUM(F22:F22)</f>
        <v>23.87</v>
      </c>
    </row>
    <row r="24" spans="1:9" ht="15.75" thickBot="1">
      <c r="A24" s="196"/>
      <c r="B24" s="2223" t="s">
        <v>55</v>
      </c>
      <c r="C24" s="2224"/>
      <c r="D24" s="2224"/>
      <c r="E24" s="2225"/>
      <c r="F24" s="199">
        <f>F20+F23</f>
        <v>30.23</v>
      </c>
    </row>
    <row r="25" spans="1:9" ht="15.75" thickBot="1"/>
    <row r="26" spans="1:9" ht="15.75" thickBot="1">
      <c r="A26" s="461" t="s">
        <v>535</v>
      </c>
      <c r="B26" s="462" t="s">
        <v>2344</v>
      </c>
      <c r="C26" s="191" t="s">
        <v>57</v>
      </c>
      <c r="D26" s="224"/>
      <c r="E26" s="224"/>
      <c r="F26" s="225"/>
      <c r="H26" s="1513"/>
    </row>
    <row r="27" spans="1:9">
      <c r="A27" s="2231" t="s">
        <v>1622</v>
      </c>
      <c r="B27" s="2232"/>
      <c r="C27" s="2232"/>
      <c r="D27" s="2232"/>
      <c r="E27" s="2232"/>
      <c r="F27" s="2233"/>
      <c r="H27" s="1513" t="s">
        <v>489</v>
      </c>
    </row>
    <row r="28" spans="1:9" ht="30">
      <c r="A28" s="78"/>
      <c r="B28" s="79" t="s">
        <v>50</v>
      </c>
      <c r="C28" s="80" t="s">
        <v>51</v>
      </c>
      <c r="D28" s="81" t="s">
        <v>52</v>
      </c>
      <c r="E28" s="82" t="s">
        <v>53</v>
      </c>
      <c r="F28" s="83" t="s">
        <v>54</v>
      </c>
    </row>
    <row r="29" spans="1:9">
      <c r="A29" s="358">
        <v>88264</v>
      </c>
      <c r="B29" s="101" t="s">
        <v>97</v>
      </c>
      <c r="C29" s="97" t="s">
        <v>59</v>
      </c>
      <c r="D29" s="232">
        <v>0.2</v>
      </c>
      <c r="E29" s="228">
        <v>23.24</v>
      </c>
      <c r="F29" s="464">
        <f>TRUNC(D29*E29,2)</f>
        <v>4.6399999999999997</v>
      </c>
    </row>
    <row r="30" spans="1:9" ht="26.25" customHeight="1">
      <c r="A30" s="138">
        <v>88247</v>
      </c>
      <c r="B30" s="101" t="s">
        <v>96</v>
      </c>
      <c r="C30" s="97" t="s">
        <v>59</v>
      </c>
      <c r="D30" s="232">
        <v>0.2</v>
      </c>
      <c r="E30" s="230">
        <v>19.2</v>
      </c>
      <c r="F30" s="464">
        <f>TRUNC(D30*E30,2)</f>
        <v>3.84</v>
      </c>
    </row>
    <row r="31" spans="1:9">
      <c r="A31" s="223"/>
      <c r="B31" s="222"/>
      <c r="C31" s="87"/>
      <c r="D31" s="88"/>
      <c r="E31" s="140" t="s">
        <v>60</v>
      </c>
      <c r="F31" s="466">
        <f>SUM(F29:F30)</f>
        <v>8.48</v>
      </c>
    </row>
    <row r="32" spans="1:9" ht="30">
      <c r="A32" s="391"/>
      <c r="B32" s="99" t="s">
        <v>98</v>
      </c>
      <c r="C32" s="92" t="s">
        <v>51</v>
      </c>
      <c r="D32" s="93" t="s">
        <v>52</v>
      </c>
      <c r="E32" s="105" t="s">
        <v>64</v>
      </c>
      <c r="F32" s="94" t="s">
        <v>54</v>
      </c>
    </row>
    <row r="33" spans="1:10">
      <c r="A33" s="138" t="s">
        <v>67</v>
      </c>
      <c r="B33" s="755" t="s">
        <v>1623</v>
      </c>
      <c r="C33" s="97" t="s">
        <v>57</v>
      </c>
      <c r="D33" s="465">
        <v>1</v>
      </c>
      <c r="E33" s="230">
        <v>28.83</v>
      </c>
      <c r="F33" s="464">
        <f>TRUNC(D33*E33,2)</f>
        <v>28.83</v>
      </c>
      <c r="H33" s="209">
        <f>C41</f>
        <v>28.83</v>
      </c>
    </row>
    <row r="34" spans="1:10" ht="15.75" thickBot="1">
      <c r="A34" s="156"/>
      <c r="B34" s="157"/>
      <c r="C34" s="158"/>
      <c r="D34" s="159"/>
      <c r="E34" s="140" t="s">
        <v>60</v>
      </c>
      <c r="F34" s="467">
        <f>SUM(F33:F33)</f>
        <v>28.83</v>
      </c>
    </row>
    <row r="35" spans="1:10" ht="15.75" thickBot="1">
      <c r="A35" s="196"/>
      <c r="B35" s="2223" t="s">
        <v>55</v>
      </c>
      <c r="C35" s="2224"/>
      <c r="D35" s="2224"/>
      <c r="E35" s="2225"/>
      <c r="F35" s="199">
        <f>F31+F34</f>
        <v>37.31</v>
      </c>
    </row>
    <row r="36" spans="1:10">
      <c r="A36" s="197"/>
      <c r="B36" s="2226" t="s">
        <v>99</v>
      </c>
      <c r="C36" s="2227"/>
      <c r="D36" s="2227"/>
      <c r="E36" s="2228"/>
      <c r="F36" s="198"/>
    </row>
    <row r="37" spans="1:10" ht="25.5">
      <c r="A37" s="160" t="s">
        <v>61</v>
      </c>
      <c r="B37" s="105" t="s">
        <v>100</v>
      </c>
      <c r="C37" s="298" t="s">
        <v>101</v>
      </c>
      <c r="D37" s="2239" t="s">
        <v>62</v>
      </c>
      <c r="E37" s="2240"/>
      <c r="F37" s="161" t="s">
        <v>102</v>
      </c>
    </row>
    <row r="38" spans="1:10" ht="25.5">
      <c r="A38" s="227">
        <v>44706</v>
      </c>
      <c r="B38" s="208" t="s">
        <v>539</v>
      </c>
      <c r="C38" s="206">
        <v>28.83</v>
      </c>
      <c r="D38" s="2099" t="s">
        <v>540</v>
      </c>
      <c r="E38" s="2100"/>
      <c r="F38" s="142" t="s">
        <v>2277</v>
      </c>
    </row>
    <row r="39" spans="1:10">
      <c r="A39" s="227">
        <v>44702</v>
      </c>
      <c r="B39" s="208" t="s">
        <v>2341</v>
      </c>
      <c r="C39" s="206">
        <v>19.23</v>
      </c>
      <c r="D39" s="2099" t="s">
        <v>2339</v>
      </c>
      <c r="E39" s="2100"/>
      <c r="F39" s="1360" t="s">
        <v>2340</v>
      </c>
      <c r="I39" s="955"/>
      <c r="J39" s="1512"/>
    </row>
    <row r="40" spans="1:10" ht="25.5">
      <c r="A40" s="227">
        <v>44707</v>
      </c>
      <c r="B40" s="208" t="s">
        <v>541</v>
      </c>
      <c r="C40" s="206">
        <v>32.71</v>
      </c>
      <c r="D40" s="2099" t="s">
        <v>542</v>
      </c>
      <c r="E40" s="2100"/>
      <c r="F40" s="142" t="s">
        <v>2342</v>
      </c>
      <c r="I40" s="955"/>
      <c r="J40" s="1514"/>
    </row>
    <row r="41" spans="1:10" ht="15.75" thickBot="1">
      <c r="A41" s="143"/>
      <c r="B41" s="316" t="s">
        <v>63</v>
      </c>
      <c r="C41" s="144">
        <f>MEDIAN(C38:C40)</f>
        <v>28.83</v>
      </c>
      <c r="D41" s="2103"/>
      <c r="E41" s="2104"/>
      <c r="F41" s="145"/>
    </row>
    <row r="42" spans="1:10" ht="15.75" thickBot="1"/>
    <row r="43" spans="1:10" ht="15.75" thickBot="1">
      <c r="A43" s="461" t="s">
        <v>536</v>
      </c>
      <c r="B43" s="462" t="s">
        <v>1599</v>
      </c>
      <c r="C43" s="191" t="s">
        <v>57</v>
      </c>
      <c r="D43" s="224"/>
      <c r="E43" s="224"/>
      <c r="F43" s="225"/>
      <c r="H43" s="419"/>
    </row>
    <row r="44" spans="1:10">
      <c r="A44" s="2231" t="s">
        <v>537</v>
      </c>
      <c r="B44" s="2232"/>
      <c r="C44" s="2232"/>
      <c r="D44" s="2232"/>
      <c r="E44" s="2232"/>
      <c r="F44" s="2233"/>
      <c r="H44" s="1513" t="s">
        <v>489</v>
      </c>
      <c r="I44" s="468"/>
    </row>
    <row r="45" spans="1:10" ht="30">
      <c r="A45" s="78"/>
      <c r="B45" s="79" t="s">
        <v>50</v>
      </c>
      <c r="C45" s="80" t="s">
        <v>51</v>
      </c>
      <c r="D45" s="81" t="s">
        <v>52</v>
      </c>
      <c r="E45" s="82" t="s">
        <v>53</v>
      </c>
      <c r="F45" s="83" t="s">
        <v>54</v>
      </c>
    </row>
    <row r="46" spans="1:10">
      <c r="A46" s="358">
        <v>88264</v>
      </c>
      <c r="B46" s="101" t="s">
        <v>97</v>
      </c>
      <c r="C46" s="97" t="s">
        <v>59</v>
      </c>
      <c r="D46" s="137">
        <v>0.2</v>
      </c>
      <c r="E46" s="228">
        <v>23.24</v>
      </c>
      <c r="F46" s="86">
        <f>TRUNC(D46*E46,2)</f>
        <v>4.6399999999999997</v>
      </c>
    </row>
    <row r="47" spans="1:10">
      <c r="A47" s="776"/>
      <c r="B47" s="222"/>
      <c r="C47" s="87"/>
      <c r="D47" s="88"/>
      <c r="E47" s="1534" t="s">
        <v>60</v>
      </c>
      <c r="F47" s="89">
        <f>SUM(F46:F46)</f>
        <v>4.6399999999999997</v>
      </c>
    </row>
    <row r="48" spans="1:10" ht="30">
      <c r="A48" s="391"/>
      <c r="B48" s="1389" t="s">
        <v>98</v>
      </c>
      <c r="C48" s="92" t="s">
        <v>51</v>
      </c>
      <c r="D48" s="93" t="s">
        <v>52</v>
      </c>
      <c r="E48" s="105" t="s">
        <v>64</v>
      </c>
      <c r="F48" s="94" t="s">
        <v>54</v>
      </c>
    </row>
    <row r="49" spans="1:11">
      <c r="A49" s="138" t="s">
        <v>67</v>
      </c>
      <c r="B49" s="401" t="s">
        <v>538</v>
      </c>
      <c r="C49" s="97" t="s">
        <v>57</v>
      </c>
      <c r="D49" s="106">
        <v>1</v>
      </c>
      <c r="E49" s="1841">
        <v>25.72</v>
      </c>
      <c r="F49" s="86">
        <f>TRUNC(D49*E49,2)</f>
        <v>25.72</v>
      </c>
    </row>
    <row r="50" spans="1:11" ht="15" customHeight="1" thickBot="1">
      <c r="A50" s="1837"/>
      <c r="B50" s="1838"/>
      <c r="C50" s="1839"/>
      <c r="D50" s="1840"/>
      <c r="E50" s="1534" t="s">
        <v>60</v>
      </c>
      <c r="F50" s="1395">
        <f>SUM(F49:F49)</f>
        <v>25.72</v>
      </c>
    </row>
    <row r="51" spans="1:11" ht="15.75" thickBot="1">
      <c r="A51" s="196"/>
      <c r="B51" s="2223" t="s">
        <v>55</v>
      </c>
      <c r="C51" s="2224"/>
      <c r="D51" s="2224"/>
      <c r="E51" s="2225"/>
      <c r="F51" s="199">
        <f>F47+F50</f>
        <v>30.36</v>
      </c>
    </row>
    <row r="52" spans="1:11">
      <c r="A52" s="197"/>
      <c r="B52" s="2226" t="s">
        <v>99</v>
      </c>
      <c r="C52" s="2227"/>
      <c r="D52" s="2227"/>
      <c r="E52" s="2228"/>
      <c r="F52" s="198"/>
    </row>
    <row r="53" spans="1:11" ht="25.5">
      <c r="A53" s="160" t="s">
        <v>61</v>
      </c>
      <c r="B53" s="105" t="s">
        <v>100</v>
      </c>
      <c r="C53" s="298" t="s">
        <v>101</v>
      </c>
      <c r="D53" s="2229" t="s">
        <v>62</v>
      </c>
      <c r="E53" s="2230"/>
      <c r="F53" s="161" t="s">
        <v>102</v>
      </c>
      <c r="I53" s="469"/>
    </row>
    <row r="54" spans="1:11" ht="25.5">
      <c r="A54" s="227">
        <v>44702</v>
      </c>
      <c r="B54" s="208" t="s">
        <v>2290</v>
      </c>
      <c r="C54" s="206">
        <v>31.73</v>
      </c>
      <c r="D54" s="2153" t="s">
        <v>2291</v>
      </c>
      <c r="E54" s="2154"/>
      <c r="F54" s="142" t="s">
        <v>2292</v>
      </c>
    </row>
    <row r="55" spans="1:11" ht="25.5">
      <c r="A55" s="227">
        <v>44702</v>
      </c>
      <c r="B55" s="208" t="s">
        <v>2282</v>
      </c>
      <c r="C55" s="206">
        <v>25.72</v>
      </c>
      <c r="D55" s="2153" t="s">
        <v>2283</v>
      </c>
      <c r="E55" s="2154"/>
      <c r="F55" s="142" t="s">
        <v>2284</v>
      </c>
    </row>
    <row r="56" spans="1:11" ht="30.75" customHeight="1">
      <c r="A56" s="227">
        <v>44707</v>
      </c>
      <c r="B56" s="208" t="s">
        <v>541</v>
      </c>
      <c r="C56" s="206">
        <v>17.760000000000002</v>
      </c>
      <c r="D56" s="2153" t="s">
        <v>542</v>
      </c>
      <c r="E56" s="2154"/>
      <c r="F56" s="142" t="s">
        <v>2342</v>
      </c>
      <c r="I56" s="955"/>
      <c r="J56" s="324"/>
    </row>
    <row r="57" spans="1:11" ht="15.75" thickBot="1">
      <c r="A57" s="143"/>
      <c r="B57" s="316" t="s">
        <v>63</v>
      </c>
      <c r="C57" s="144">
        <f>MEDIAN(C54:C56)</f>
        <v>25.72</v>
      </c>
      <c r="D57" s="2103"/>
      <c r="E57" s="2104"/>
      <c r="F57" s="145"/>
    </row>
    <row r="58" spans="1:11" ht="15.75" thickBot="1"/>
    <row r="59" spans="1:11" ht="15.75" thickBot="1">
      <c r="A59" s="461" t="s">
        <v>543</v>
      </c>
      <c r="B59" s="462" t="s">
        <v>1598</v>
      </c>
      <c r="C59" s="191" t="s">
        <v>57</v>
      </c>
      <c r="D59" s="224"/>
      <c r="E59" s="224"/>
      <c r="F59" s="225"/>
    </row>
    <row r="60" spans="1:11" ht="15" customHeight="1">
      <c r="A60" s="2231" t="s">
        <v>537</v>
      </c>
      <c r="B60" s="2232"/>
      <c r="C60" s="2232"/>
      <c r="D60" s="2232"/>
      <c r="E60" s="2232"/>
      <c r="F60" s="2233"/>
      <c r="H60" s="1513" t="s">
        <v>489</v>
      </c>
    </row>
    <row r="61" spans="1:11" ht="32.25" customHeight="1">
      <c r="A61" s="78"/>
      <c r="B61" s="79" t="s">
        <v>50</v>
      </c>
      <c r="C61" s="80" t="s">
        <v>51</v>
      </c>
      <c r="D61" s="81" t="s">
        <v>52</v>
      </c>
      <c r="E61" s="82" t="s">
        <v>53</v>
      </c>
      <c r="F61" s="83" t="s">
        <v>54</v>
      </c>
      <c r="I61" s="781"/>
      <c r="J61" s="781"/>
      <c r="K61" s="781"/>
    </row>
    <row r="62" spans="1:11">
      <c r="A62" s="358">
        <v>88264</v>
      </c>
      <c r="B62" s="101" t="s">
        <v>97</v>
      </c>
      <c r="C62" s="97" t="s">
        <v>59</v>
      </c>
      <c r="D62" s="137">
        <v>0.2</v>
      </c>
      <c r="E62" s="228">
        <v>23.24</v>
      </c>
      <c r="F62" s="86">
        <f>TRUNC(D62*E62,2)</f>
        <v>4.6399999999999997</v>
      </c>
    </row>
    <row r="63" spans="1:11">
      <c r="A63" s="776"/>
      <c r="B63" s="222"/>
      <c r="C63" s="87"/>
      <c r="D63" s="88"/>
      <c r="E63" s="1534" t="s">
        <v>60</v>
      </c>
      <c r="F63" s="89">
        <f>SUM(F62:F62)</f>
        <v>4.6399999999999997</v>
      </c>
    </row>
    <row r="64" spans="1:11" ht="30">
      <c r="A64" s="391"/>
      <c r="B64" s="1389" t="s">
        <v>98</v>
      </c>
      <c r="C64" s="92" t="s">
        <v>51</v>
      </c>
      <c r="D64" s="93" t="s">
        <v>52</v>
      </c>
      <c r="E64" s="105" t="s">
        <v>64</v>
      </c>
      <c r="F64" s="94" t="s">
        <v>54</v>
      </c>
    </row>
    <row r="65" spans="1:10">
      <c r="A65" s="138" t="s">
        <v>67</v>
      </c>
      <c r="B65" s="401" t="s">
        <v>1598</v>
      </c>
      <c r="C65" s="97" t="s">
        <v>57</v>
      </c>
      <c r="D65" s="106">
        <v>1</v>
      </c>
      <c r="E65" s="1841">
        <v>49.9</v>
      </c>
      <c r="F65" s="86">
        <f>TRUNC(D65*E65,2)</f>
        <v>49.9</v>
      </c>
    </row>
    <row r="66" spans="1:10" ht="15.75" thickBot="1">
      <c r="A66" s="1837"/>
      <c r="B66" s="1838"/>
      <c r="C66" s="1839"/>
      <c r="D66" s="1840"/>
      <c r="E66" s="1534" t="s">
        <v>60</v>
      </c>
      <c r="F66" s="1395">
        <f>SUM(F65:F65)</f>
        <v>49.9</v>
      </c>
    </row>
    <row r="67" spans="1:10" ht="15.75" thickBot="1">
      <c r="A67" s="196"/>
      <c r="B67" s="2223" t="s">
        <v>55</v>
      </c>
      <c r="C67" s="2224"/>
      <c r="D67" s="2224"/>
      <c r="E67" s="2225"/>
      <c r="F67" s="199">
        <f>F63+F66</f>
        <v>54.54</v>
      </c>
    </row>
    <row r="68" spans="1:10">
      <c r="A68" s="197"/>
      <c r="B68" s="2226" t="s">
        <v>99</v>
      </c>
      <c r="C68" s="2227"/>
      <c r="D68" s="2227"/>
      <c r="E68" s="2228"/>
      <c r="F68" s="198"/>
    </row>
    <row r="69" spans="1:10" ht="25.5">
      <c r="A69" s="160" t="s">
        <v>61</v>
      </c>
      <c r="B69" s="105" t="s">
        <v>100</v>
      </c>
      <c r="C69" s="298" t="s">
        <v>101</v>
      </c>
      <c r="D69" s="2229" t="s">
        <v>62</v>
      </c>
      <c r="E69" s="2230"/>
      <c r="F69" s="161" t="s">
        <v>102</v>
      </c>
    </row>
    <row r="70" spans="1:10" ht="25.5">
      <c r="A70" s="227">
        <v>44702</v>
      </c>
      <c r="B70" s="208" t="s">
        <v>2282</v>
      </c>
      <c r="C70" s="206">
        <v>65.39</v>
      </c>
      <c r="D70" s="2153" t="s">
        <v>2283</v>
      </c>
      <c r="E70" s="2154"/>
      <c r="F70" s="142" t="s">
        <v>2284</v>
      </c>
    </row>
    <row r="71" spans="1:10">
      <c r="A71" s="227">
        <v>44707</v>
      </c>
      <c r="B71" s="208" t="s">
        <v>2366</v>
      </c>
      <c r="C71" s="206">
        <v>49.9</v>
      </c>
      <c r="D71" s="2153" t="s">
        <v>2367</v>
      </c>
      <c r="E71" s="2154"/>
      <c r="F71" s="142" t="s">
        <v>2365</v>
      </c>
      <c r="I71" t="s">
        <v>2368</v>
      </c>
    </row>
    <row r="72" spans="1:10">
      <c r="A72" s="227">
        <v>44707</v>
      </c>
      <c r="B72" s="208" t="s">
        <v>2369</v>
      </c>
      <c r="C72" s="206">
        <v>40</v>
      </c>
      <c r="D72" s="2153" t="s">
        <v>2364</v>
      </c>
      <c r="E72" s="2154"/>
      <c r="F72" s="142" t="s">
        <v>2365</v>
      </c>
      <c r="I72" t="s">
        <v>2370</v>
      </c>
    </row>
    <row r="73" spans="1:10" ht="15.75" thickBot="1">
      <c r="A73" s="143"/>
      <c r="B73" s="316" t="s">
        <v>63</v>
      </c>
      <c r="C73" s="144">
        <f>MEDIAN(C70:C72)</f>
        <v>49.9</v>
      </c>
      <c r="D73" s="2103"/>
      <c r="E73" s="2104"/>
      <c r="F73" s="145"/>
    </row>
    <row r="74" spans="1:10" ht="15.75" thickBot="1"/>
    <row r="75" spans="1:10" ht="15.75" thickBot="1">
      <c r="A75" s="461" t="s">
        <v>545</v>
      </c>
      <c r="B75" s="462" t="s">
        <v>2345</v>
      </c>
      <c r="C75" s="191" t="s">
        <v>57</v>
      </c>
      <c r="D75" s="224"/>
      <c r="E75" s="224"/>
      <c r="F75" s="225"/>
      <c r="H75" s="1513" t="s">
        <v>489</v>
      </c>
    </row>
    <row r="76" spans="1:10">
      <c r="A76" s="2231" t="s">
        <v>544</v>
      </c>
      <c r="B76" s="2232"/>
      <c r="C76" s="2232"/>
      <c r="D76" s="2232"/>
      <c r="E76" s="2232"/>
      <c r="F76" s="2233"/>
      <c r="I76" s="468"/>
    </row>
    <row r="77" spans="1:10" ht="30">
      <c r="A77" s="78"/>
      <c r="B77" s="79" t="s">
        <v>50</v>
      </c>
      <c r="C77" s="80" t="s">
        <v>51</v>
      </c>
      <c r="D77" s="81" t="s">
        <v>52</v>
      </c>
      <c r="E77" s="82" t="s">
        <v>53</v>
      </c>
      <c r="F77" s="83" t="s">
        <v>54</v>
      </c>
      <c r="I77" s="779"/>
      <c r="J77" s="779"/>
    </row>
    <row r="78" spans="1:10">
      <c r="A78" s="358">
        <v>88264</v>
      </c>
      <c r="B78" s="101" t="s">
        <v>97</v>
      </c>
      <c r="C78" s="97" t="s">
        <v>59</v>
      </c>
      <c r="D78" s="232">
        <v>1</v>
      </c>
      <c r="E78" s="228">
        <v>23.24</v>
      </c>
      <c r="F78" s="464">
        <f>TRUNC(D78*E78,2)</f>
        <v>23.24</v>
      </c>
    </row>
    <row r="79" spans="1:10" ht="25.5">
      <c r="A79" s="138">
        <v>88247</v>
      </c>
      <c r="B79" s="101" t="s">
        <v>96</v>
      </c>
      <c r="C79" s="97" t="s">
        <v>59</v>
      </c>
      <c r="D79" s="232">
        <v>1</v>
      </c>
      <c r="E79" s="1422">
        <v>19.2</v>
      </c>
      <c r="F79" s="464">
        <f>TRUNC(D79*E79,2)</f>
        <v>19.2</v>
      </c>
    </row>
    <row r="80" spans="1:10">
      <c r="A80" s="776"/>
      <c r="B80" s="222"/>
      <c r="C80" s="87"/>
      <c r="D80" s="88"/>
      <c r="E80" s="1534" t="s">
        <v>60</v>
      </c>
      <c r="F80" s="89">
        <f>SUM(F78:F79)</f>
        <v>42.44</v>
      </c>
    </row>
    <row r="81" spans="1:9" ht="30">
      <c r="A81" s="95"/>
      <c r="B81" s="1389" t="s">
        <v>98</v>
      </c>
      <c r="C81" s="1399" t="s">
        <v>51</v>
      </c>
      <c r="D81" s="93" t="s">
        <v>52</v>
      </c>
      <c r="E81" s="105" t="s">
        <v>64</v>
      </c>
      <c r="F81" s="94" t="s">
        <v>54</v>
      </c>
    </row>
    <row r="82" spans="1:9">
      <c r="A82" s="138" t="s">
        <v>67</v>
      </c>
      <c r="B82" s="787" t="s">
        <v>1171</v>
      </c>
      <c r="C82" s="97" t="s">
        <v>57</v>
      </c>
      <c r="D82" s="465">
        <v>1</v>
      </c>
      <c r="E82" s="1422">
        <v>1756.17</v>
      </c>
      <c r="F82" s="464">
        <f>TRUNC(D82*E82,2)</f>
        <v>1756.17</v>
      </c>
    </row>
    <row r="83" spans="1:9" ht="15.75" thickBot="1">
      <c r="A83" s="1837"/>
      <c r="B83" s="1838"/>
      <c r="C83" s="1839"/>
      <c r="D83" s="1840"/>
      <c r="E83" s="1534" t="s">
        <v>60</v>
      </c>
      <c r="F83" s="1883">
        <f>SUM(F82:F82)</f>
        <v>1756.17</v>
      </c>
    </row>
    <row r="84" spans="1:9" ht="15.75" thickBot="1">
      <c r="A84" s="196"/>
      <c r="B84" s="2223" t="s">
        <v>55</v>
      </c>
      <c r="C84" s="2224"/>
      <c r="D84" s="2224"/>
      <c r="E84" s="2225"/>
      <c r="F84" s="470">
        <f>F80+F83</f>
        <v>1798.6100000000001</v>
      </c>
    </row>
    <row r="85" spans="1:9">
      <c r="A85" s="197"/>
      <c r="B85" s="2226" t="s">
        <v>99</v>
      </c>
      <c r="C85" s="2227"/>
      <c r="D85" s="2227"/>
      <c r="E85" s="2228"/>
      <c r="F85" s="198"/>
    </row>
    <row r="86" spans="1:9" ht="25.5">
      <c r="A86" s="160" t="s">
        <v>61</v>
      </c>
      <c r="B86" s="105" t="s">
        <v>100</v>
      </c>
      <c r="C86" s="298" t="s">
        <v>101</v>
      </c>
      <c r="D86" s="2229" t="s">
        <v>62</v>
      </c>
      <c r="E86" s="2230"/>
      <c r="F86" s="161" t="s">
        <v>102</v>
      </c>
    </row>
    <row r="87" spans="1:9" ht="25.5">
      <c r="A87" s="227">
        <v>44702</v>
      </c>
      <c r="B87" s="208" t="s">
        <v>2282</v>
      </c>
      <c r="C87" s="206">
        <v>1756.17</v>
      </c>
      <c r="D87" s="2153" t="s">
        <v>2283</v>
      </c>
      <c r="E87" s="2154"/>
      <c r="F87" s="142" t="s">
        <v>2284</v>
      </c>
    </row>
    <row r="88" spans="1:9" ht="25.5">
      <c r="A88" s="227">
        <v>44706</v>
      </c>
      <c r="B88" s="208" t="s">
        <v>539</v>
      </c>
      <c r="C88" s="206">
        <v>1808.58</v>
      </c>
      <c r="D88" s="2153" t="s">
        <v>540</v>
      </c>
      <c r="E88" s="2154"/>
      <c r="F88" s="142" t="s">
        <v>2277</v>
      </c>
    </row>
    <row r="89" spans="1:9" ht="25.5">
      <c r="A89" s="227">
        <v>44702</v>
      </c>
      <c r="B89" s="208" t="s">
        <v>2290</v>
      </c>
      <c r="C89" s="206">
        <v>1076.56</v>
      </c>
      <c r="D89" s="2153" t="s">
        <v>2291</v>
      </c>
      <c r="E89" s="2154"/>
      <c r="F89" s="142" t="s">
        <v>2292</v>
      </c>
    </row>
    <row r="90" spans="1:9" ht="15.75" thickBot="1">
      <c r="A90" s="143"/>
      <c r="B90" s="316" t="s">
        <v>63</v>
      </c>
      <c r="C90" s="144">
        <f>MEDIAN(C87:C89)</f>
        <v>1756.17</v>
      </c>
      <c r="D90" s="2103"/>
      <c r="E90" s="2104"/>
      <c r="F90" s="145"/>
    </row>
    <row r="91" spans="1:9" ht="15.75" thickBot="1"/>
    <row r="92" spans="1:9" ht="15.75" thickBot="1">
      <c r="A92" s="461" t="s">
        <v>548</v>
      </c>
      <c r="B92" s="462" t="s">
        <v>546</v>
      </c>
      <c r="C92" s="191" t="s">
        <v>57</v>
      </c>
      <c r="D92" s="224"/>
      <c r="E92" s="224"/>
      <c r="F92" s="225"/>
      <c r="H92" s="1513" t="s">
        <v>489</v>
      </c>
    </row>
    <row r="93" spans="1:9">
      <c r="A93" s="2220" t="s">
        <v>547</v>
      </c>
      <c r="B93" s="2221"/>
      <c r="C93" s="2221"/>
      <c r="D93" s="2221"/>
      <c r="E93" s="2221"/>
      <c r="F93" s="2222"/>
      <c r="I93" s="468"/>
    </row>
    <row r="94" spans="1:9" ht="30">
      <c r="A94" s="78"/>
      <c r="B94" s="79" t="s">
        <v>50</v>
      </c>
      <c r="C94" s="80" t="s">
        <v>51</v>
      </c>
      <c r="D94" s="81" t="s">
        <v>52</v>
      </c>
      <c r="E94" s="82" t="s">
        <v>53</v>
      </c>
      <c r="F94" s="83" t="s">
        <v>54</v>
      </c>
    </row>
    <row r="95" spans="1:9">
      <c r="A95" s="358">
        <v>88264</v>
      </c>
      <c r="B95" s="101" t="s">
        <v>97</v>
      </c>
      <c r="C95" s="97" t="s">
        <v>59</v>
      </c>
      <c r="D95" s="137">
        <v>0.08</v>
      </c>
      <c r="E95" s="228">
        <v>23.24</v>
      </c>
      <c r="F95" s="86">
        <f>TRUNC(D95*E95,2)</f>
        <v>1.85</v>
      </c>
    </row>
    <row r="96" spans="1:9" ht="25.5">
      <c r="A96" s="138">
        <v>88247</v>
      </c>
      <c r="B96" s="101" t="s">
        <v>96</v>
      </c>
      <c r="C96" s="97" t="s">
        <v>59</v>
      </c>
      <c r="D96" s="137">
        <v>1</v>
      </c>
      <c r="E96" s="1422">
        <v>19.2</v>
      </c>
      <c r="F96" s="86">
        <f>TRUNC(D96*E96,2)</f>
        <v>19.2</v>
      </c>
    </row>
    <row r="97" spans="1:9">
      <c r="A97" s="776"/>
      <c r="B97" s="222"/>
      <c r="C97" s="87"/>
      <c r="D97" s="88"/>
      <c r="E97" s="1534" t="s">
        <v>60</v>
      </c>
      <c r="F97" s="89">
        <f>SUM(F95:F96)</f>
        <v>21.05</v>
      </c>
    </row>
    <row r="98" spans="1:9" ht="30">
      <c r="A98" s="95"/>
      <c r="B98" s="1389" t="s">
        <v>98</v>
      </c>
      <c r="C98" s="92" t="s">
        <v>51</v>
      </c>
      <c r="D98" s="93" t="s">
        <v>52</v>
      </c>
      <c r="E98" s="105" t="s">
        <v>64</v>
      </c>
      <c r="F98" s="94" t="s">
        <v>54</v>
      </c>
    </row>
    <row r="99" spans="1:9">
      <c r="A99" s="138" t="s">
        <v>67</v>
      </c>
      <c r="B99" s="401" t="s">
        <v>546</v>
      </c>
      <c r="C99" s="97" t="s">
        <v>57</v>
      </c>
      <c r="D99" s="106">
        <v>1</v>
      </c>
      <c r="E99" s="1841">
        <v>3.36</v>
      </c>
      <c r="F99" s="86">
        <f>TRUNC(D99*E99,2)</f>
        <v>3.36</v>
      </c>
    </row>
    <row r="100" spans="1:9" ht="15.75" thickBot="1">
      <c r="A100" s="1837"/>
      <c r="B100" s="1838"/>
      <c r="C100" s="1839"/>
      <c r="D100" s="1840"/>
      <c r="E100" s="1534" t="s">
        <v>60</v>
      </c>
      <c r="F100" s="1395">
        <f>SUM(F99:F99)</f>
        <v>3.36</v>
      </c>
    </row>
    <row r="101" spans="1:9" ht="15.75" thickBot="1">
      <c r="A101" s="196"/>
      <c r="B101" s="2223" t="s">
        <v>55</v>
      </c>
      <c r="C101" s="2224"/>
      <c r="D101" s="2224"/>
      <c r="E101" s="2225"/>
      <c r="F101" s="199">
        <f>F97+F100</f>
        <v>24.41</v>
      </c>
    </row>
    <row r="102" spans="1:9">
      <c r="A102" s="197"/>
      <c r="B102" s="2226" t="s">
        <v>99</v>
      </c>
      <c r="C102" s="2227"/>
      <c r="D102" s="2227"/>
      <c r="E102" s="2228"/>
      <c r="F102" s="198"/>
    </row>
    <row r="103" spans="1:9" ht="25.5">
      <c r="A103" s="160" t="s">
        <v>61</v>
      </c>
      <c r="B103" s="105" t="s">
        <v>100</v>
      </c>
      <c r="C103" s="298" t="s">
        <v>101</v>
      </c>
      <c r="D103" s="2229" t="s">
        <v>62</v>
      </c>
      <c r="E103" s="2230"/>
      <c r="F103" s="161" t="s">
        <v>102</v>
      </c>
    </row>
    <row r="104" spans="1:9" ht="25.5">
      <c r="A104" s="227">
        <v>44702</v>
      </c>
      <c r="B104" s="208" t="s">
        <v>2282</v>
      </c>
      <c r="C104" s="206">
        <v>3.36</v>
      </c>
      <c r="D104" s="2153" t="s">
        <v>2283</v>
      </c>
      <c r="E104" s="2154"/>
      <c r="F104" s="142" t="s">
        <v>2284</v>
      </c>
    </row>
    <row r="105" spans="1:9" ht="25.5">
      <c r="A105" s="227">
        <v>44706</v>
      </c>
      <c r="B105" s="208" t="s">
        <v>539</v>
      </c>
      <c r="C105" s="206">
        <v>2.8</v>
      </c>
      <c r="D105" s="2153" t="s">
        <v>540</v>
      </c>
      <c r="E105" s="2154"/>
      <c r="F105" s="142" t="s">
        <v>2277</v>
      </c>
    </row>
    <row r="106" spans="1:9" ht="25.5">
      <c r="A106" s="227">
        <v>44702</v>
      </c>
      <c r="B106" s="208" t="s">
        <v>2290</v>
      </c>
      <c r="C106" s="206">
        <v>3.58</v>
      </c>
      <c r="D106" s="2153" t="s">
        <v>2291</v>
      </c>
      <c r="E106" s="2154"/>
      <c r="F106" s="142" t="s">
        <v>2292</v>
      </c>
    </row>
    <row r="107" spans="1:9" ht="15.75" thickBot="1">
      <c r="A107" s="143"/>
      <c r="B107" s="316" t="s">
        <v>63</v>
      </c>
      <c r="C107" s="144">
        <f>MEDIAN(C104:C106)</f>
        <v>3.36</v>
      </c>
      <c r="D107" s="2103"/>
      <c r="E107" s="2104"/>
      <c r="F107" s="145"/>
    </row>
    <row r="108" spans="1:9" ht="15.75" thickBot="1"/>
    <row r="109" spans="1:9" ht="15.75" thickBot="1">
      <c r="A109" s="461" t="s">
        <v>550</v>
      </c>
      <c r="B109" s="462" t="s">
        <v>549</v>
      </c>
      <c r="C109" s="191" t="s">
        <v>57</v>
      </c>
      <c r="D109" s="224"/>
      <c r="E109" s="224"/>
      <c r="F109" s="225"/>
      <c r="H109" s="1513" t="s">
        <v>489</v>
      </c>
    </row>
    <row r="110" spans="1:9">
      <c r="A110" s="2220" t="s">
        <v>547</v>
      </c>
      <c r="B110" s="2221"/>
      <c r="C110" s="2221"/>
      <c r="D110" s="2221"/>
      <c r="E110" s="2221"/>
      <c r="F110" s="2222"/>
      <c r="I110" s="468"/>
    </row>
    <row r="111" spans="1:9" ht="30">
      <c r="A111" s="78"/>
      <c r="B111" s="79" t="s">
        <v>50</v>
      </c>
      <c r="C111" s="80" t="s">
        <v>51</v>
      </c>
      <c r="D111" s="81" t="s">
        <v>52</v>
      </c>
      <c r="E111" s="82" t="s">
        <v>53</v>
      </c>
      <c r="F111" s="83" t="s">
        <v>54</v>
      </c>
    </row>
    <row r="112" spans="1:9">
      <c r="A112" s="358">
        <v>88264</v>
      </c>
      <c r="B112" s="101" t="s">
        <v>97</v>
      </c>
      <c r="C112" s="97" t="s">
        <v>59</v>
      </c>
      <c r="D112" s="137">
        <v>0.08</v>
      </c>
      <c r="E112" s="228">
        <v>23.24</v>
      </c>
      <c r="F112" s="86">
        <f>TRUNC(D112*E112,2)</f>
        <v>1.85</v>
      </c>
    </row>
    <row r="113" spans="1:9" ht="26.25" thickBot="1">
      <c r="A113" s="210">
        <v>88247</v>
      </c>
      <c r="B113" s="1803" t="s">
        <v>96</v>
      </c>
      <c r="C113" s="1367" t="s">
        <v>59</v>
      </c>
      <c r="D113" s="1842">
        <v>1</v>
      </c>
      <c r="E113" s="1369">
        <v>19.2</v>
      </c>
      <c r="F113" s="1843">
        <f>TRUNC(D113*E113,2)</f>
        <v>19.2</v>
      </c>
    </row>
    <row r="114" spans="1:9">
      <c r="A114" s="1844"/>
      <c r="B114" s="1845"/>
      <c r="C114" s="1846"/>
      <c r="D114" s="1847"/>
      <c r="E114" s="1848" t="s">
        <v>60</v>
      </c>
      <c r="F114" s="1849">
        <f>SUM(F112:F113)</f>
        <v>21.05</v>
      </c>
    </row>
    <row r="115" spans="1:9" ht="30">
      <c r="A115" s="95"/>
      <c r="B115" s="1389" t="s">
        <v>98</v>
      </c>
      <c r="C115" s="92" t="s">
        <v>51</v>
      </c>
      <c r="D115" s="93" t="s">
        <v>52</v>
      </c>
      <c r="E115" s="105" t="s">
        <v>64</v>
      </c>
      <c r="F115" s="94" t="s">
        <v>54</v>
      </c>
    </row>
    <row r="116" spans="1:9">
      <c r="A116" s="138" t="s">
        <v>67</v>
      </c>
      <c r="B116" s="401" t="s">
        <v>549</v>
      </c>
      <c r="C116" s="97" t="s">
        <v>57</v>
      </c>
      <c r="D116" s="106">
        <v>1</v>
      </c>
      <c r="E116" s="1841">
        <v>3.63</v>
      </c>
      <c r="F116" s="86">
        <f>TRUNC(D116*E116,2)</f>
        <v>3.63</v>
      </c>
    </row>
    <row r="117" spans="1:9" ht="15.75" thickBot="1">
      <c r="A117" s="1837"/>
      <c r="B117" s="1838"/>
      <c r="C117" s="1839"/>
      <c r="D117" s="1840"/>
      <c r="E117" s="1534" t="s">
        <v>60</v>
      </c>
      <c r="F117" s="1395">
        <f>SUM(F116:F116)</f>
        <v>3.63</v>
      </c>
    </row>
    <row r="118" spans="1:9" ht="15.75" thickBot="1">
      <c r="A118" s="196"/>
      <c r="B118" s="2223" t="s">
        <v>55</v>
      </c>
      <c r="C118" s="2224"/>
      <c r="D118" s="2224"/>
      <c r="E118" s="2225"/>
      <c r="F118" s="199">
        <f>F114+F117</f>
        <v>24.68</v>
      </c>
    </row>
    <row r="119" spans="1:9">
      <c r="A119" s="197"/>
      <c r="B119" s="2226" t="s">
        <v>99</v>
      </c>
      <c r="C119" s="2227"/>
      <c r="D119" s="2227"/>
      <c r="E119" s="2228"/>
      <c r="F119" s="198"/>
    </row>
    <row r="120" spans="1:9" ht="25.5">
      <c r="A120" s="160" t="s">
        <v>61</v>
      </c>
      <c r="B120" s="105" t="s">
        <v>100</v>
      </c>
      <c r="C120" s="298" t="s">
        <v>101</v>
      </c>
      <c r="D120" s="2239" t="s">
        <v>62</v>
      </c>
      <c r="E120" s="2240"/>
      <c r="F120" s="161" t="s">
        <v>102</v>
      </c>
    </row>
    <row r="121" spans="1:9" ht="25.5">
      <c r="A121" s="227">
        <v>44702</v>
      </c>
      <c r="B121" s="208" t="s">
        <v>2282</v>
      </c>
      <c r="C121" s="206">
        <v>3.77</v>
      </c>
      <c r="D121" s="2099" t="s">
        <v>2283</v>
      </c>
      <c r="E121" s="2100"/>
      <c r="F121" s="142" t="s">
        <v>2284</v>
      </c>
    </row>
    <row r="122" spans="1:9" ht="25.5">
      <c r="A122" s="227">
        <v>44707</v>
      </c>
      <c r="B122" s="208" t="s">
        <v>539</v>
      </c>
      <c r="C122" s="206">
        <v>2.86</v>
      </c>
      <c r="D122" s="2099" t="s">
        <v>540</v>
      </c>
      <c r="E122" s="2100"/>
      <c r="F122" s="142" t="s">
        <v>2277</v>
      </c>
    </row>
    <row r="123" spans="1:9" ht="25.5">
      <c r="A123" s="227">
        <v>44702</v>
      </c>
      <c r="B123" s="208" t="s">
        <v>2290</v>
      </c>
      <c r="C123" s="206">
        <v>3.63</v>
      </c>
      <c r="D123" s="2099" t="s">
        <v>2291</v>
      </c>
      <c r="E123" s="2100"/>
      <c r="F123" s="142" t="s">
        <v>2292</v>
      </c>
    </row>
    <row r="124" spans="1:9" ht="15.75" thickBot="1">
      <c r="A124" s="143"/>
      <c r="B124" s="316" t="s">
        <v>63</v>
      </c>
      <c r="C124" s="144">
        <f>MEDIAN(C121:C123)</f>
        <v>3.63</v>
      </c>
      <c r="D124" s="2103"/>
      <c r="E124" s="2104"/>
      <c r="F124" s="145"/>
    </row>
    <row r="125" spans="1:9" ht="15.75" thickBot="1"/>
    <row r="126" spans="1:9" ht="15.75" thickBot="1">
      <c r="A126" s="461" t="s">
        <v>552</v>
      </c>
      <c r="B126" s="462" t="s">
        <v>1600</v>
      </c>
      <c r="C126" s="191" t="s">
        <v>57</v>
      </c>
      <c r="D126" s="224"/>
      <c r="E126" s="224"/>
      <c r="F126" s="225"/>
      <c r="H126" s="1513"/>
    </row>
    <row r="127" spans="1:9">
      <c r="A127" s="2220" t="s">
        <v>551</v>
      </c>
      <c r="B127" s="2221"/>
      <c r="C127" s="2221"/>
      <c r="D127" s="2221"/>
      <c r="E127" s="2221"/>
      <c r="F127" s="2222"/>
      <c r="H127" s="463" t="s">
        <v>489</v>
      </c>
      <c r="I127" s="468"/>
    </row>
    <row r="128" spans="1:9" ht="30">
      <c r="A128" s="78"/>
      <c r="B128" s="79" t="s">
        <v>50</v>
      </c>
      <c r="C128" s="80" t="s">
        <v>51</v>
      </c>
      <c r="D128" s="81" t="s">
        <v>52</v>
      </c>
      <c r="E128" s="82" t="s">
        <v>53</v>
      </c>
      <c r="F128" s="83" t="s">
        <v>54</v>
      </c>
    </row>
    <row r="129" spans="1:10">
      <c r="A129" s="358">
        <v>88264</v>
      </c>
      <c r="B129" s="101" t="s">
        <v>97</v>
      </c>
      <c r="C129" s="97" t="s">
        <v>59</v>
      </c>
      <c r="D129" s="137">
        <v>0.5</v>
      </c>
      <c r="E129" s="228">
        <v>23.24</v>
      </c>
      <c r="F129" s="86">
        <f>TRUNC(D129*E129,2)</f>
        <v>11.62</v>
      </c>
    </row>
    <row r="130" spans="1:10" ht="25.5">
      <c r="A130" s="138">
        <v>88247</v>
      </c>
      <c r="B130" s="101" t="s">
        <v>96</v>
      </c>
      <c r="C130" s="97" t="s">
        <v>59</v>
      </c>
      <c r="D130" s="137">
        <v>0.5</v>
      </c>
      <c r="E130" s="1422">
        <v>19.2</v>
      </c>
      <c r="F130" s="86">
        <f>TRUNC(D130*E130,2)</f>
        <v>9.6</v>
      </c>
    </row>
    <row r="131" spans="1:10">
      <c r="A131" s="776"/>
      <c r="B131" s="222"/>
      <c r="C131" s="87"/>
      <c r="D131" s="88"/>
      <c r="E131" s="1534" t="s">
        <v>60</v>
      </c>
      <c r="F131" s="89">
        <f>SUM(F129:F130)</f>
        <v>21.22</v>
      </c>
    </row>
    <row r="132" spans="1:10" ht="30">
      <c r="A132" s="95"/>
      <c r="B132" s="1389" t="s">
        <v>98</v>
      </c>
      <c r="C132" s="92" t="s">
        <v>51</v>
      </c>
      <c r="D132" s="93" t="s">
        <v>52</v>
      </c>
      <c r="E132" s="105" t="s">
        <v>64</v>
      </c>
      <c r="F132" s="94" t="s">
        <v>54</v>
      </c>
    </row>
    <row r="133" spans="1:10">
      <c r="A133" s="138" t="s">
        <v>67</v>
      </c>
      <c r="B133" s="208" t="s">
        <v>1600</v>
      </c>
      <c r="C133" s="97" t="s">
        <v>57</v>
      </c>
      <c r="D133" s="106">
        <v>1</v>
      </c>
      <c r="E133" s="1841">
        <v>587.05999999999995</v>
      </c>
      <c r="F133" s="86">
        <f>TRUNC(D133*E133,2)</f>
        <v>587.05999999999995</v>
      </c>
    </row>
    <row r="134" spans="1:10" ht="15.75" thickBot="1">
      <c r="A134" s="1837"/>
      <c r="B134" s="1838"/>
      <c r="C134" s="1839"/>
      <c r="D134" s="1840"/>
      <c r="E134" s="1534" t="s">
        <v>60</v>
      </c>
      <c r="F134" s="1395">
        <f>SUM(F133:F133)</f>
        <v>587.05999999999995</v>
      </c>
    </row>
    <row r="135" spans="1:10" ht="15.75" thickBot="1">
      <c r="A135" s="196"/>
      <c r="B135" s="2223" t="s">
        <v>55</v>
      </c>
      <c r="C135" s="2224"/>
      <c r="D135" s="2224"/>
      <c r="E135" s="2225"/>
      <c r="F135" s="199">
        <f>F131+F134</f>
        <v>608.28</v>
      </c>
    </row>
    <row r="136" spans="1:10">
      <c r="A136" s="197"/>
      <c r="B136" s="2226" t="s">
        <v>99</v>
      </c>
      <c r="C136" s="2227"/>
      <c r="D136" s="2227"/>
      <c r="E136" s="2228"/>
      <c r="F136" s="198"/>
    </row>
    <row r="137" spans="1:10" ht="25.5">
      <c r="A137" s="160" t="s">
        <v>61</v>
      </c>
      <c r="B137" s="105" t="s">
        <v>100</v>
      </c>
      <c r="C137" s="298" t="s">
        <v>101</v>
      </c>
      <c r="D137" s="2229" t="s">
        <v>62</v>
      </c>
      <c r="E137" s="2230"/>
      <c r="F137" s="161" t="s">
        <v>102</v>
      </c>
    </row>
    <row r="138" spans="1:10" ht="25.5">
      <c r="A138" s="227">
        <v>44706</v>
      </c>
      <c r="B138" s="208" t="s">
        <v>539</v>
      </c>
      <c r="C138" s="206">
        <v>587.05999999999995</v>
      </c>
      <c r="D138" s="2153" t="s">
        <v>540</v>
      </c>
      <c r="E138" s="2154"/>
      <c r="F138" s="142" t="s">
        <v>2277</v>
      </c>
    </row>
    <row r="139" spans="1:10" ht="25.5" customHeight="1">
      <c r="A139" s="227">
        <v>44707</v>
      </c>
      <c r="B139" s="208" t="s">
        <v>2304</v>
      </c>
      <c r="C139" s="206">
        <v>442.23</v>
      </c>
      <c r="D139" s="2153" t="s">
        <v>2305</v>
      </c>
      <c r="E139" s="2154"/>
      <c r="F139" s="1360" t="s">
        <v>2307</v>
      </c>
      <c r="I139" s="955" t="s">
        <v>2306</v>
      </c>
      <c r="J139" s="558">
        <f>373.71+199.34</f>
        <v>573.04999999999995</v>
      </c>
    </row>
    <row r="140" spans="1:10" ht="22.5" customHeight="1">
      <c r="A140" s="227">
        <v>44707</v>
      </c>
      <c r="B140" s="208" t="s">
        <v>2287</v>
      </c>
      <c r="C140" s="206">
        <v>907.16</v>
      </c>
      <c r="D140" s="2153" t="s">
        <v>2288</v>
      </c>
      <c r="E140" s="2154"/>
      <c r="F140" s="1360" t="s">
        <v>2289</v>
      </c>
      <c r="I140" s="955" t="s">
        <v>2309</v>
      </c>
      <c r="J140" s="324">
        <f>505.31+85.73</f>
        <v>591.04</v>
      </c>
    </row>
    <row r="141" spans="1:10" ht="15.75" thickBot="1">
      <c r="A141" s="143"/>
      <c r="B141" s="316" t="s">
        <v>63</v>
      </c>
      <c r="C141" s="144">
        <f>MEDIAN(C138:C140)</f>
        <v>587.05999999999995</v>
      </c>
      <c r="D141" s="2103"/>
      <c r="E141" s="2104"/>
      <c r="F141" s="145"/>
    </row>
    <row r="142" spans="1:10" ht="15.75" thickBot="1"/>
    <row r="143" spans="1:10" ht="15.75" thickBot="1">
      <c r="A143" s="461" t="s">
        <v>556</v>
      </c>
      <c r="B143" s="422" t="s">
        <v>1629</v>
      </c>
      <c r="C143" s="191" t="s">
        <v>57</v>
      </c>
      <c r="D143" s="224"/>
      <c r="E143" s="224"/>
      <c r="F143" s="225"/>
    </row>
    <row r="144" spans="1:10" ht="15" customHeight="1">
      <c r="A144" s="2220" t="s">
        <v>1628</v>
      </c>
      <c r="B144" s="2221"/>
      <c r="C144" s="2221"/>
      <c r="D144" s="2221"/>
      <c r="E144" s="2221"/>
      <c r="F144" s="2222"/>
    </row>
    <row r="145" spans="1:9" ht="30">
      <c r="A145" s="78"/>
      <c r="B145" s="79" t="s">
        <v>50</v>
      </c>
      <c r="C145" s="80" t="s">
        <v>51</v>
      </c>
      <c r="D145" s="81" t="s">
        <v>52</v>
      </c>
      <c r="E145" s="82" t="s">
        <v>53</v>
      </c>
      <c r="F145" s="83" t="s">
        <v>54</v>
      </c>
    </row>
    <row r="146" spans="1:9">
      <c r="A146" s="358">
        <v>88264</v>
      </c>
      <c r="B146" s="101" t="s">
        <v>97</v>
      </c>
      <c r="C146" s="97" t="s">
        <v>59</v>
      </c>
      <c r="D146" s="137">
        <v>0.2</v>
      </c>
      <c r="E146" s="228">
        <v>23.24</v>
      </c>
      <c r="F146" s="86">
        <f>TRUNC(D146*E146,2)</f>
        <v>4.6399999999999997</v>
      </c>
    </row>
    <row r="147" spans="1:9" ht="25.5">
      <c r="A147" s="138">
        <v>88247</v>
      </c>
      <c r="B147" s="101" t="s">
        <v>96</v>
      </c>
      <c r="C147" s="97" t="s">
        <v>59</v>
      </c>
      <c r="D147" s="137">
        <v>0.2</v>
      </c>
      <c r="E147" s="230">
        <v>19.2</v>
      </c>
      <c r="F147" s="86">
        <f>TRUNC(D147*E147,2)</f>
        <v>3.84</v>
      </c>
    </row>
    <row r="148" spans="1:9">
      <c r="A148" s="776"/>
      <c r="B148" s="222"/>
      <c r="C148" s="87"/>
      <c r="D148" s="88"/>
      <c r="E148" s="140" t="s">
        <v>60</v>
      </c>
      <c r="F148" s="89">
        <f>SUM(F146:F147)</f>
        <v>8.48</v>
      </c>
    </row>
    <row r="149" spans="1:9" ht="30">
      <c r="A149" s="95"/>
      <c r="B149" s="99" t="s">
        <v>98</v>
      </c>
      <c r="C149" s="92" t="s">
        <v>51</v>
      </c>
      <c r="D149" s="93" t="s">
        <v>52</v>
      </c>
      <c r="E149" s="105" t="s">
        <v>64</v>
      </c>
      <c r="F149" s="94" t="s">
        <v>54</v>
      </c>
    </row>
    <row r="150" spans="1:9">
      <c r="A150" s="138" t="s">
        <v>67</v>
      </c>
      <c r="B150" s="208" t="s">
        <v>2392</v>
      </c>
      <c r="C150" s="97" t="s">
        <v>57</v>
      </c>
      <c r="D150" s="106">
        <v>1</v>
      </c>
      <c r="E150" s="162">
        <v>183.4</v>
      </c>
      <c r="F150" s="86">
        <f>TRUNC(D150*E150,2)</f>
        <v>183.4</v>
      </c>
    </row>
    <row r="151" spans="1:9" ht="15.75" thickBot="1">
      <c r="A151" s="156"/>
      <c r="B151" s="157"/>
      <c r="C151" s="158"/>
      <c r="D151" s="159"/>
      <c r="E151" s="140" t="s">
        <v>60</v>
      </c>
      <c r="F151" s="141">
        <f>SUM(F150:F150)</f>
        <v>183.4</v>
      </c>
    </row>
    <row r="152" spans="1:9" ht="15.75" thickBot="1">
      <c r="A152" s="196"/>
      <c r="B152" s="2223" t="s">
        <v>55</v>
      </c>
      <c r="C152" s="2224"/>
      <c r="D152" s="2224"/>
      <c r="E152" s="2225"/>
      <c r="F152" s="199">
        <f>F148+F151</f>
        <v>191.88</v>
      </c>
    </row>
    <row r="153" spans="1:9">
      <c r="A153" s="197"/>
      <c r="B153" s="2226" t="s">
        <v>99</v>
      </c>
      <c r="C153" s="2227"/>
      <c r="D153" s="2227"/>
      <c r="E153" s="2228"/>
      <c r="F153" s="198"/>
    </row>
    <row r="154" spans="1:9" ht="25.5">
      <c r="A154" s="160" t="s">
        <v>61</v>
      </c>
      <c r="B154" s="105" t="s">
        <v>100</v>
      </c>
      <c r="C154" s="298" t="s">
        <v>101</v>
      </c>
      <c r="D154" s="2239" t="s">
        <v>62</v>
      </c>
      <c r="E154" s="2240"/>
      <c r="F154" s="161" t="s">
        <v>102</v>
      </c>
    </row>
    <row r="155" spans="1:9" ht="25.5">
      <c r="A155" s="227">
        <v>44707</v>
      </c>
      <c r="B155" s="208" t="s">
        <v>2349</v>
      </c>
      <c r="C155" s="206">
        <v>183.4</v>
      </c>
      <c r="D155" s="2099" t="s">
        <v>2347</v>
      </c>
      <c r="E155" s="2100"/>
      <c r="F155" s="142" t="s">
        <v>2348</v>
      </c>
      <c r="H155" s="324">
        <f>228.94+22.1</f>
        <v>251.04</v>
      </c>
      <c r="I155" s="955" t="s">
        <v>2308</v>
      </c>
    </row>
    <row r="156" spans="1:9" ht="30">
      <c r="A156" s="227">
        <v>44707</v>
      </c>
      <c r="B156" s="208" t="s">
        <v>2391</v>
      </c>
      <c r="C156" s="206">
        <v>195.99</v>
      </c>
      <c r="D156" s="2099" t="s">
        <v>2398</v>
      </c>
      <c r="E156" s="2100"/>
      <c r="F156" s="1360" t="s">
        <v>2399</v>
      </c>
      <c r="H156" s="558">
        <f>187.39+14.3</f>
        <v>201.69</v>
      </c>
      <c r="I156" s="955" t="s">
        <v>2404</v>
      </c>
    </row>
    <row r="157" spans="1:9">
      <c r="A157" s="227">
        <v>44707</v>
      </c>
      <c r="B157" s="1440" t="s">
        <v>2402</v>
      </c>
      <c r="C157" s="1441">
        <v>152</v>
      </c>
      <c r="D157" s="2153" t="s">
        <v>2406</v>
      </c>
      <c r="E157" s="2154"/>
      <c r="F157" s="1571" t="s">
        <v>2403</v>
      </c>
      <c r="H157" s="558">
        <f>13.91+19.33</f>
        <v>33.239999999999995</v>
      </c>
      <c r="I157" s="955" t="s">
        <v>2405</v>
      </c>
    </row>
    <row r="158" spans="1:9" ht="15.75" thickBot="1">
      <c r="A158" s="143"/>
      <c r="B158" s="316" t="s">
        <v>63</v>
      </c>
      <c r="C158" s="144">
        <f>MEDIAN(C155:C157)</f>
        <v>183.4</v>
      </c>
      <c r="D158" s="2103"/>
      <c r="E158" s="2104"/>
      <c r="F158" s="145"/>
    </row>
    <row r="159" spans="1:9" ht="15.75" thickBot="1"/>
    <row r="160" spans="1:9" ht="15.75" thickBot="1">
      <c r="A160" s="461" t="s">
        <v>559</v>
      </c>
      <c r="B160" s="462" t="s">
        <v>1630</v>
      </c>
      <c r="C160" s="191" t="s">
        <v>57</v>
      </c>
      <c r="D160" s="224"/>
      <c r="E160" s="224"/>
      <c r="F160" s="225"/>
    </row>
    <row r="161" spans="1:8">
      <c r="A161" s="2220" t="s">
        <v>551</v>
      </c>
      <c r="B161" s="2221"/>
      <c r="C161" s="2221"/>
      <c r="D161" s="2221"/>
      <c r="E161" s="2221"/>
      <c r="F161" s="2222"/>
      <c r="H161" s="463" t="s">
        <v>489</v>
      </c>
    </row>
    <row r="162" spans="1:8" ht="30">
      <c r="A162" s="78"/>
      <c r="B162" s="79" t="s">
        <v>50</v>
      </c>
      <c r="C162" s="80" t="s">
        <v>51</v>
      </c>
      <c r="D162" s="81" t="s">
        <v>52</v>
      </c>
      <c r="E162" s="82" t="s">
        <v>53</v>
      </c>
      <c r="F162" s="83" t="s">
        <v>54</v>
      </c>
    </row>
    <row r="163" spans="1:8">
      <c r="A163" s="358">
        <v>88264</v>
      </c>
      <c r="B163" s="101" t="s">
        <v>97</v>
      </c>
      <c r="C163" s="97" t="s">
        <v>59</v>
      </c>
      <c r="D163" s="137">
        <v>0.2</v>
      </c>
      <c r="E163" s="228">
        <v>23.24</v>
      </c>
      <c r="F163" s="86">
        <f>TRUNC(D163*E163,2)</f>
        <v>4.6399999999999997</v>
      </c>
    </row>
    <row r="164" spans="1:8" ht="25.5">
      <c r="A164" s="138">
        <v>88247</v>
      </c>
      <c r="B164" s="101" t="s">
        <v>96</v>
      </c>
      <c r="C164" s="97" t="s">
        <v>59</v>
      </c>
      <c r="D164" s="137">
        <v>0.2</v>
      </c>
      <c r="E164" s="1422">
        <v>19.2</v>
      </c>
      <c r="F164" s="86">
        <f>TRUNC(D164*E164,2)</f>
        <v>3.84</v>
      </c>
    </row>
    <row r="165" spans="1:8">
      <c r="A165" s="776"/>
      <c r="B165" s="222"/>
      <c r="C165" s="87"/>
      <c r="D165" s="88"/>
      <c r="E165" s="1534" t="s">
        <v>60</v>
      </c>
      <c r="F165" s="89">
        <f>SUM(F163:F164)</f>
        <v>8.48</v>
      </c>
    </row>
    <row r="166" spans="1:8" ht="30.75" thickBot="1">
      <c r="A166" s="1428"/>
      <c r="B166" s="1850" t="s">
        <v>98</v>
      </c>
      <c r="C166" s="1392" t="s">
        <v>51</v>
      </c>
      <c r="D166" s="1393" t="s">
        <v>52</v>
      </c>
      <c r="E166" s="1851" t="s">
        <v>64</v>
      </c>
      <c r="F166" s="1852" t="s">
        <v>54</v>
      </c>
    </row>
    <row r="167" spans="1:8">
      <c r="A167" s="1479" t="s">
        <v>67</v>
      </c>
      <c r="B167" s="1405" t="s">
        <v>1630</v>
      </c>
      <c r="C167" s="1373" t="s">
        <v>57</v>
      </c>
      <c r="D167" s="1853">
        <v>1</v>
      </c>
      <c r="E167" s="1854">
        <v>14.69</v>
      </c>
      <c r="F167" s="1855">
        <f>TRUNC(D167*E167,2)</f>
        <v>14.69</v>
      </c>
    </row>
    <row r="168" spans="1:8" ht="15.75" thickBot="1">
      <c r="A168" s="1837"/>
      <c r="B168" s="1838"/>
      <c r="C168" s="1839"/>
      <c r="D168" s="1840"/>
      <c r="E168" s="1534" t="s">
        <v>60</v>
      </c>
      <c r="F168" s="1395">
        <f>SUM(F167:F167)</f>
        <v>14.69</v>
      </c>
    </row>
    <row r="169" spans="1:8" ht="15.75" thickBot="1">
      <c r="A169" s="196"/>
      <c r="B169" s="2223" t="s">
        <v>55</v>
      </c>
      <c r="C169" s="2224"/>
      <c r="D169" s="2224"/>
      <c r="E169" s="2225"/>
      <c r="F169" s="199">
        <f>F165+F168</f>
        <v>23.17</v>
      </c>
    </row>
    <row r="170" spans="1:8">
      <c r="A170" s="197"/>
      <c r="B170" s="2226" t="s">
        <v>99</v>
      </c>
      <c r="C170" s="2227"/>
      <c r="D170" s="2227"/>
      <c r="E170" s="2228"/>
      <c r="F170" s="198"/>
    </row>
    <row r="171" spans="1:8" ht="25.5">
      <c r="A171" s="160" t="s">
        <v>61</v>
      </c>
      <c r="B171" s="105" t="s">
        <v>100</v>
      </c>
      <c r="C171" s="298" t="s">
        <v>101</v>
      </c>
      <c r="D171" s="2239" t="s">
        <v>62</v>
      </c>
      <c r="E171" s="2240"/>
      <c r="F171" s="161" t="s">
        <v>102</v>
      </c>
    </row>
    <row r="172" spans="1:8" ht="25.5">
      <c r="A172" s="227">
        <v>44702</v>
      </c>
      <c r="B172" s="208" t="s">
        <v>2290</v>
      </c>
      <c r="C172" s="206">
        <v>14.69</v>
      </c>
      <c r="D172" s="2099" t="s">
        <v>2291</v>
      </c>
      <c r="E172" s="2100"/>
      <c r="F172" s="142" t="s">
        <v>2292</v>
      </c>
    </row>
    <row r="173" spans="1:8" ht="25.5">
      <c r="A173" s="227">
        <v>44702</v>
      </c>
      <c r="B173" s="208" t="s">
        <v>2282</v>
      </c>
      <c r="C173" s="206">
        <v>11.57</v>
      </c>
      <c r="D173" s="2099" t="s">
        <v>2283</v>
      </c>
      <c r="E173" s="2100"/>
      <c r="F173" s="142" t="s">
        <v>2284</v>
      </c>
    </row>
    <row r="174" spans="1:8" ht="25.5">
      <c r="A174" s="227">
        <v>44706</v>
      </c>
      <c r="B174" s="208" t="s">
        <v>539</v>
      </c>
      <c r="C174" s="206">
        <v>22.8</v>
      </c>
      <c r="D174" s="2099" t="s">
        <v>540</v>
      </c>
      <c r="E174" s="2100"/>
      <c r="F174" s="142" t="s">
        <v>2277</v>
      </c>
    </row>
    <row r="175" spans="1:8" ht="15.75" thickBot="1">
      <c r="A175" s="143"/>
      <c r="B175" s="316" t="s">
        <v>63</v>
      </c>
      <c r="C175" s="144">
        <f>MEDIAN(C172:C174)</f>
        <v>14.69</v>
      </c>
      <c r="D175" s="2103"/>
      <c r="E175" s="2104"/>
      <c r="F175" s="145"/>
    </row>
    <row r="176" spans="1:8" ht="15.75" thickBot="1"/>
    <row r="177" spans="1:14" ht="15.75" thickBot="1">
      <c r="A177" s="461" t="s">
        <v>562</v>
      </c>
      <c r="B177" s="462" t="s">
        <v>1631</v>
      </c>
      <c r="C177" s="191" t="s">
        <v>57</v>
      </c>
      <c r="D177" s="224"/>
      <c r="E177" s="224"/>
      <c r="F177" s="225"/>
    </row>
    <row r="178" spans="1:14">
      <c r="A178" s="2220" t="s">
        <v>1691</v>
      </c>
      <c r="B178" s="2221"/>
      <c r="C178" s="2221"/>
      <c r="D178" s="2221"/>
      <c r="E178" s="2221"/>
      <c r="F178" s="2222"/>
      <c r="H178" s="1513" t="s">
        <v>489</v>
      </c>
      <c r="I178" s="855"/>
      <c r="J178" s="855"/>
      <c r="K178" s="855"/>
      <c r="L178" s="855"/>
      <c r="M178" s="855"/>
      <c r="N178" s="855"/>
    </row>
    <row r="179" spans="1:14" ht="30">
      <c r="A179" s="78"/>
      <c r="B179" s="79" t="s">
        <v>50</v>
      </c>
      <c r="C179" s="80" t="s">
        <v>51</v>
      </c>
      <c r="D179" s="81" t="s">
        <v>52</v>
      </c>
      <c r="E179" s="82" t="s">
        <v>53</v>
      </c>
      <c r="F179" s="83" t="s">
        <v>54</v>
      </c>
    </row>
    <row r="180" spans="1:14">
      <c r="A180" s="358">
        <v>88264</v>
      </c>
      <c r="B180" s="101" t="s">
        <v>97</v>
      </c>
      <c r="C180" s="97" t="s">
        <v>59</v>
      </c>
      <c r="D180" s="137">
        <v>0.05</v>
      </c>
      <c r="E180" s="228">
        <v>23.24</v>
      </c>
      <c r="F180" s="86">
        <f>TRUNC(D180*E180,2)</f>
        <v>1.1599999999999999</v>
      </c>
    </row>
    <row r="181" spans="1:14" ht="25.5">
      <c r="A181" s="138">
        <v>88247</v>
      </c>
      <c r="B181" s="101" t="s">
        <v>96</v>
      </c>
      <c r="C181" s="97" t="s">
        <v>59</v>
      </c>
      <c r="D181" s="137">
        <v>2.5000000000000001E-2</v>
      </c>
      <c r="E181" s="1422">
        <v>19.2</v>
      </c>
      <c r="F181" s="86">
        <f>TRUNC(D181*E181,2)</f>
        <v>0.48</v>
      </c>
    </row>
    <row r="182" spans="1:14">
      <c r="A182" s="776"/>
      <c r="B182" s="222"/>
      <c r="C182" s="87"/>
      <c r="D182" s="88"/>
      <c r="E182" s="1534" t="s">
        <v>60</v>
      </c>
      <c r="F182" s="89">
        <f>SUM(F180:F181)</f>
        <v>1.64</v>
      </c>
    </row>
    <row r="183" spans="1:14" ht="30">
      <c r="A183" s="95"/>
      <c r="B183" s="1389" t="s">
        <v>98</v>
      </c>
      <c r="C183" s="92" t="s">
        <v>51</v>
      </c>
      <c r="D183" s="93" t="s">
        <v>52</v>
      </c>
      <c r="E183" s="105" t="s">
        <v>64</v>
      </c>
      <c r="F183" s="94" t="s">
        <v>54</v>
      </c>
    </row>
    <row r="184" spans="1:14" ht="25.5">
      <c r="A184" s="84">
        <v>39128</v>
      </c>
      <c r="B184" s="208" t="s">
        <v>1692</v>
      </c>
      <c r="C184" s="97" t="s">
        <v>57</v>
      </c>
      <c r="D184" s="106">
        <v>1</v>
      </c>
      <c r="E184" s="1841">
        <v>2.2799999999999998</v>
      </c>
      <c r="F184" s="86">
        <f>TRUNC(D184*E184,2)</f>
        <v>2.2799999999999998</v>
      </c>
    </row>
    <row r="185" spans="1:14" ht="15.75" thickBot="1">
      <c r="A185" s="1837"/>
      <c r="B185" s="1838"/>
      <c r="C185" s="1839"/>
      <c r="D185" s="1840"/>
      <c r="E185" s="1534" t="s">
        <v>60</v>
      </c>
      <c r="F185" s="1395">
        <f>SUM(F184:F184)</f>
        <v>2.2799999999999998</v>
      </c>
    </row>
    <row r="186" spans="1:14" ht="15.75" thickBot="1">
      <c r="A186" s="196"/>
      <c r="B186" s="2223" t="s">
        <v>55</v>
      </c>
      <c r="C186" s="2224"/>
      <c r="D186" s="2224"/>
      <c r="E186" s="2225"/>
      <c r="F186" s="199">
        <f>F182+F185</f>
        <v>3.92</v>
      </c>
    </row>
    <row r="187" spans="1:14" ht="15.75" thickBot="1"/>
    <row r="188" spans="1:14" ht="16.5" customHeight="1" thickBot="1">
      <c r="A188" s="461" t="s">
        <v>564</v>
      </c>
      <c r="B188" s="462" t="s">
        <v>1635</v>
      </c>
      <c r="C188" s="191" t="s">
        <v>57</v>
      </c>
      <c r="D188" s="224"/>
      <c r="E188" s="224"/>
      <c r="F188" s="225"/>
    </row>
    <row r="189" spans="1:14">
      <c r="A189" s="2220" t="s">
        <v>2350</v>
      </c>
      <c r="B189" s="2221"/>
      <c r="C189" s="2221"/>
      <c r="D189" s="2221"/>
      <c r="E189" s="2221"/>
      <c r="F189" s="2222"/>
      <c r="H189" s="463" t="s">
        <v>489</v>
      </c>
    </row>
    <row r="190" spans="1:14" ht="30">
      <c r="A190" s="78"/>
      <c r="B190" s="79" t="s">
        <v>50</v>
      </c>
      <c r="C190" s="80" t="s">
        <v>51</v>
      </c>
      <c r="D190" s="81" t="s">
        <v>52</v>
      </c>
      <c r="E190" s="82" t="s">
        <v>53</v>
      </c>
      <c r="F190" s="83" t="s">
        <v>54</v>
      </c>
    </row>
    <row r="191" spans="1:14">
      <c r="A191" s="138">
        <v>88266</v>
      </c>
      <c r="B191" s="208" t="s">
        <v>2351</v>
      </c>
      <c r="C191" s="97" t="s">
        <v>59</v>
      </c>
      <c r="D191" s="232">
        <v>38.267000000000003</v>
      </c>
      <c r="E191" s="228">
        <v>28.58</v>
      </c>
      <c r="F191" s="464">
        <f>TRUNC(D191*E191,2)</f>
        <v>1093.67</v>
      </c>
    </row>
    <row r="192" spans="1:14">
      <c r="A192" s="138">
        <v>88264</v>
      </c>
      <c r="B192" s="208" t="s">
        <v>97</v>
      </c>
      <c r="C192" s="97" t="s">
        <v>59</v>
      </c>
      <c r="D192" s="232">
        <v>23.385000000000002</v>
      </c>
      <c r="E192" s="1422">
        <v>23.24</v>
      </c>
      <c r="F192" s="464">
        <f t="shared" ref="F192:F193" si="0">TRUNC(D192*E192,2)</f>
        <v>543.46</v>
      </c>
    </row>
    <row r="193" spans="1:10" ht="25.5">
      <c r="A193" s="138">
        <v>88247</v>
      </c>
      <c r="B193" s="208" t="s">
        <v>96</v>
      </c>
      <c r="C193" s="97" t="s">
        <v>59</v>
      </c>
      <c r="D193" s="232">
        <v>44.643999999999998</v>
      </c>
      <c r="E193" s="1422">
        <v>19.2</v>
      </c>
      <c r="F193" s="464">
        <f t="shared" si="0"/>
        <v>857.16</v>
      </c>
    </row>
    <row r="194" spans="1:10">
      <c r="A194" s="776"/>
      <c r="B194" s="222"/>
      <c r="C194" s="87"/>
      <c r="D194" s="88"/>
      <c r="E194" s="1534" t="s">
        <v>60</v>
      </c>
      <c r="F194" s="89">
        <f>SUM(F191:F193)</f>
        <v>2494.29</v>
      </c>
    </row>
    <row r="195" spans="1:10" ht="30">
      <c r="A195" s="95"/>
      <c r="B195" s="1389" t="s">
        <v>98</v>
      </c>
      <c r="C195" s="92" t="s">
        <v>51</v>
      </c>
      <c r="D195" s="93" t="s">
        <v>52</v>
      </c>
      <c r="E195" s="105" t="s">
        <v>64</v>
      </c>
      <c r="F195" s="94" t="s">
        <v>54</v>
      </c>
    </row>
    <row r="196" spans="1:10" ht="25.5">
      <c r="A196" s="138" t="s">
        <v>67</v>
      </c>
      <c r="B196" s="208" t="s">
        <v>1632</v>
      </c>
      <c r="C196" s="97" t="s">
        <v>57</v>
      </c>
      <c r="D196" s="106">
        <v>1</v>
      </c>
      <c r="E196" s="1841">
        <v>2650.32</v>
      </c>
      <c r="F196" s="86">
        <f>TRUNC(D196*E196,2)</f>
        <v>2650.32</v>
      </c>
    </row>
    <row r="197" spans="1:10" ht="15.75" thickBot="1">
      <c r="A197" s="1837"/>
      <c r="B197" s="1838"/>
      <c r="C197" s="1839"/>
      <c r="D197" s="1840"/>
      <c r="E197" s="1534" t="s">
        <v>60</v>
      </c>
      <c r="F197" s="1395">
        <f>SUM(F194,F196)</f>
        <v>5144.6100000000006</v>
      </c>
    </row>
    <row r="198" spans="1:10" ht="15.75" thickBot="1">
      <c r="A198" s="196"/>
      <c r="B198" s="2223" t="s">
        <v>55</v>
      </c>
      <c r="C198" s="2224"/>
      <c r="D198" s="2224"/>
      <c r="E198" s="2225"/>
      <c r="F198" s="199">
        <f>F194+F197</f>
        <v>7638.9000000000005</v>
      </c>
    </row>
    <row r="199" spans="1:10">
      <c r="A199" s="197"/>
      <c r="B199" s="2226" t="s">
        <v>99</v>
      </c>
      <c r="C199" s="2227"/>
      <c r="D199" s="2227"/>
      <c r="E199" s="2228"/>
      <c r="F199" s="198"/>
    </row>
    <row r="200" spans="1:10" ht="25.5">
      <c r="A200" s="160" t="s">
        <v>61</v>
      </c>
      <c r="B200" s="105" t="s">
        <v>100</v>
      </c>
      <c r="C200" s="298" t="s">
        <v>101</v>
      </c>
      <c r="D200" s="2239" t="s">
        <v>62</v>
      </c>
      <c r="E200" s="2240"/>
      <c r="F200" s="161" t="s">
        <v>102</v>
      </c>
    </row>
    <row r="201" spans="1:10" ht="25.5">
      <c r="A201" s="227">
        <v>44702</v>
      </c>
      <c r="B201" s="208" t="s">
        <v>2290</v>
      </c>
      <c r="C201" s="206">
        <v>2667.31</v>
      </c>
      <c r="D201" s="2099" t="s">
        <v>2291</v>
      </c>
      <c r="E201" s="2100"/>
      <c r="F201" s="142" t="s">
        <v>2292</v>
      </c>
    </row>
    <row r="202" spans="1:10" ht="21.75" customHeight="1">
      <c r="A202" s="227">
        <v>44707</v>
      </c>
      <c r="B202" s="208" t="s">
        <v>2293</v>
      </c>
      <c r="C202" s="206">
        <v>1348.9</v>
      </c>
      <c r="D202" s="2099" t="s">
        <v>2294</v>
      </c>
      <c r="E202" s="2100"/>
      <c r="F202" s="1360" t="s">
        <v>2295</v>
      </c>
      <c r="I202" s="1495" t="s">
        <v>2303</v>
      </c>
      <c r="J202" s="558">
        <f>899+353.07</f>
        <v>1252.07</v>
      </c>
    </row>
    <row r="203" spans="1:10" ht="23.25" customHeight="1">
      <c r="A203" s="227">
        <v>44707</v>
      </c>
      <c r="B203" s="208" t="s">
        <v>2287</v>
      </c>
      <c r="C203" s="206">
        <v>2650.32</v>
      </c>
      <c r="D203" s="2099" t="s">
        <v>2288</v>
      </c>
      <c r="E203" s="2100"/>
      <c r="F203" s="1360" t="s">
        <v>2289</v>
      </c>
      <c r="I203" s="1495" t="s">
        <v>2301</v>
      </c>
      <c r="J203" s="558">
        <f>951.81+353.07</f>
        <v>1304.8799999999999</v>
      </c>
    </row>
    <row r="204" spans="1:10" ht="15.75" thickBot="1">
      <c r="A204" s="143"/>
      <c r="B204" s="316" t="s">
        <v>63</v>
      </c>
      <c r="C204" s="144">
        <f>MEDIAN(C201:C203)</f>
        <v>2650.32</v>
      </c>
      <c r="D204" s="2103"/>
      <c r="E204" s="2104"/>
      <c r="F204" s="145"/>
    </row>
    <row r="205" spans="1:10">
      <c r="A205" s="197"/>
      <c r="B205" s="2226" t="s">
        <v>2300</v>
      </c>
      <c r="C205" s="2227"/>
      <c r="D205" s="2227"/>
      <c r="E205" s="2228"/>
      <c r="F205" s="198"/>
    </row>
    <row r="206" spans="1:10" ht="25.5">
      <c r="A206" s="160" t="s">
        <v>61</v>
      </c>
      <c r="B206" s="105" t="s">
        <v>100</v>
      </c>
      <c r="C206" s="298" t="s">
        <v>101</v>
      </c>
      <c r="D206" s="2239" t="s">
        <v>62</v>
      </c>
      <c r="E206" s="2240"/>
      <c r="F206" s="161" t="s">
        <v>102</v>
      </c>
    </row>
    <row r="207" spans="1:10" ht="20.25" customHeight="1">
      <c r="A207" s="227">
        <v>44707</v>
      </c>
      <c r="B207" s="208" t="s">
        <v>2287</v>
      </c>
      <c r="C207" s="206">
        <v>353.07</v>
      </c>
      <c r="D207" s="2099" t="s">
        <v>2288</v>
      </c>
      <c r="E207" s="2100"/>
      <c r="F207" s="1360" t="s">
        <v>2346</v>
      </c>
      <c r="I207" s="955" t="s">
        <v>2299</v>
      </c>
      <c r="J207" s="558">
        <f>303.91+49.16</f>
        <v>353.07000000000005</v>
      </c>
    </row>
    <row r="208" spans="1:10">
      <c r="A208" s="227">
        <v>44707</v>
      </c>
      <c r="B208" s="208" t="s">
        <v>2296</v>
      </c>
      <c r="C208" s="206">
        <v>599.5</v>
      </c>
      <c r="D208" s="2099" t="s">
        <v>2297</v>
      </c>
      <c r="E208" s="2100"/>
      <c r="F208" s="1360" t="s">
        <v>2298</v>
      </c>
    </row>
    <row r="209" spans="1:9" ht="15.75" thickBot="1">
      <c r="A209" s="143"/>
      <c r="B209" s="851" t="s">
        <v>2302</v>
      </c>
      <c r="C209" s="1522">
        <f>C207</f>
        <v>353.07</v>
      </c>
      <c r="D209" s="2103"/>
      <c r="E209" s="2104"/>
      <c r="F209" s="145"/>
    </row>
    <row r="210" spans="1:9" ht="15.75" thickBot="1"/>
    <row r="211" spans="1:9" ht="26.25" thickBot="1">
      <c r="A211" s="478" t="s">
        <v>565</v>
      </c>
      <c r="B211" s="479" t="s">
        <v>1608</v>
      </c>
      <c r="C211" s="480" t="s">
        <v>57</v>
      </c>
      <c r="D211" s="481"/>
      <c r="E211" s="481"/>
      <c r="F211" s="482"/>
      <c r="H211" s="463" t="s">
        <v>489</v>
      </c>
    </row>
    <row r="212" spans="1:9">
      <c r="A212" s="2236" t="s">
        <v>566</v>
      </c>
      <c r="B212" s="2237"/>
      <c r="C212" s="2237"/>
      <c r="D212" s="2237"/>
      <c r="E212" s="2237"/>
      <c r="F212" s="2238"/>
    </row>
    <row r="213" spans="1:9" ht="25.5">
      <c r="A213" s="483"/>
      <c r="B213" s="484" t="s">
        <v>50</v>
      </c>
      <c r="C213" s="485" t="s">
        <v>51</v>
      </c>
      <c r="D213" s="486" t="s">
        <v>52</v>
      </c>
      <c r="E213" s="487" t="s">
        <v>53</v>
      </c>
      <c r="F213" s="334" t="s">
        <v>54</v>
      </c>
    </row>
    <row r="214" spans="1:9">
      <c r="A214" s="488">
        <v>88309</v>
      </c>
      <c r="B214" s="1289" t="s">
        <v>107</v>
      </c>
      <c r="C214" s="489" t="s">
        <v>59</v>
      </c>
      <c r="D214" s="490">
        <v>2.42</v>
      </c>
      <c r="E214" s="491">
        <v>22.41</v>
      </c>
      <c r="F214" s="492">
        <f>TRUNC(D214*E214,2)</f>
        <v>54.23</v>
      </c>
    </row>
    <row r="215" spans="1:9">
      <c r="A215" s="335">
        <v>88316</v>
      </c>
      <c r="B215" s="401" t="s">
        <v>68</v>
      </c>
      <c r="C215" s="489" t="s">
        <v>59</v>
      </c>
      <c r="D215" s="490">
        <v>4.0999999999999996</v>
      </c>
      <c r="E215" s="1856">
        <v>17.82</v>
      </c>
      <c r="F215" s="492">
        <f>TRUNC(D215*E215,2)</f>
        <v>73.06</v>
      </c>
    </row>
    <row r="216" spans="1:9">
      <c r="A216" s="1857"/>
      <c r="B216" s="493"/>
      <c r="C216" s="494"/>
      <c r="D216" s="495"/>
      <c r="E216" s="1858" t="s">
        <v>60</v>
      </c>
      <c r="F216" s="496">
        <f>SUM(F214:F215)</f>
        <v>127.28999999999999</v>
      </c>
    </row>
    <row r="217" spans="1:9" ht="25.5">
      <c r="A217" s="497"/>
      <c r="B217" s="1808" t="s">
        <v>98</v>
      </c>
      <c r="C217" s="499" t="s">
        <v>51</v>
      </c>
      <c r="D217" s="500" t="s">
        <v>52</v>
      </c>
      <c r="E217" s="485" t="s">
        <v>64</v>
      </c>
      <c r="F217" s="501" t="s">
        <v>54</v>
      </c>
    </row>
    <row r="218" spans="1:9" ht="25.5">
      <c r="A218" s="502">
        <v>43059</v>
      </c>
      <c r="B218" s="401" t="s">
        <v>567</v>
      </c>
      <c r="C218" s="489" t="s">
        <v>104</v>
      </c>
      <c r="D218" s="503">
        <v>0.56000000000000005</v>
      </c>
      <c r="E218" s="1856">
        <v>9.91</v>
      </c>
      <c r="F218" s="492">
        <f>TRUNC(D218*E218,2)</f>
        <v>5.54</v>
      </c>
    </row>
    <row r="219" spans="1:9" ht="26.25" thickBot="1">
      <c r="A219" s="1859">
        <v>367</v>
      </c>
      <c r="B219" s="1860" t="s">
        <v>568</v>
      </c>
      <c r="C219" s="1861" t="s">
        <v>49</v>
      </c>
      <c r="D219" s="1862">
        <v>5.0400000000000002E-3</v>
      </c>
      <c r="E219" s="1813">
        <v>106.42</v>
      </c>
      <c r="F219" s="1863">
        <f t="shared" ref="F219:F226" si="1">TRUNC(D219*E219,2)</f>
        <v>0.53</v>
      </c>
    </row>
    <row r="220" spans="1:9" ht="25.5">
      <c r="A220" s="1864">
        <v>370</v>
      </c>
      <c r="B220" s="1865" t="s">
        <v>434</v>
      </c>
      <c r="C220" s="1866" t="s">
        <v>49</v>
      </c>
      <c r="D220" s="1867">
        <v>7.0000000000000007E-2</v>
      </c>
      <c r="E220" s="1868">
        <v>105.05</v>
      </c>
      <c r="F220" s="1869">
        <f t="shared" si="1"/>
        <v>7.35</v>
      </c>
    </row>
    <row r="221" spans="1:9">
      <c r="A221" s="502">
        <v>1106</v>
      </c>
      <c r="B221" s="504" t="s">
        <v>569</v>
      </c>
      <c r="C221" s="489" t="s">
        <v>104</v>
      </c>
      <c r="D221" s="1870">
        <v>5.78</v>
      </c>
      <c r="E221" s="1856">
        <v>0.9</v>
      </c>
      <c r="F221" s="492">
        <f t="shared" si="1"/>
        <v>5.2</v>
      </c>
    </row>
    <row r="222" spans="1:9" ht="25.5">
      <c r="A222" s="502">
        <v>1358</v>
      </c>
      <c r="B222" s="504" t="s">
        <v>570</v>
      </c>
      <c r="C222" s="1871" t="s">
        <v>48</v>
      </c>
      <c r="D222" s="1870">
        <v>0.08</v>
      </c>
      <c r="E222" s="1856">
        <v>65.25</v>
      </c>
      <c r="F222" s="492">
        <f t="shared" si="1"/>
        <v>5.22</v>
      </c>
      <c r="I222" s="505"/>
    </row>
    <row r="223" spans="1:9">
      <c r="A223" s="502">
        <v>1379</v>
      </c>
      <c r="B223" s="504" t="s">
        <v>178</v>
      </c>
      <c r="C223" s="489" t="s">
        <v>104</v>
      </c>
      <c r="D223" s="1870">
        <v>16.47</v>
      </c>
      <c r="E223" s="1856">
        <v>0.78</v>
      </c>
      <c r="F223" s="492">
        <f t="shared" si="1"/>
        <v>12.84</v>
      </c>
    </row>
    <row r="224" spans="1:9" ht="25.5">
      <c r="A224" s="502">
        <v>4718</v>
      </c>
      <c r="B224" s="504" t="s">
        <v>435</v>
      </c>
      <c r="C224" s="1871" t="s">
        <v>49</v>
      </c>
      <c r="D224" s="1872">
        <v>5.8399999999999997E-3</v>
      </c>
      <c r="E224" s="1856">
        <v>84.85</v>
      </c>
      <c r="F224" s="492">
        <f t="shared" si="1"/>
        <v>0.49</v>
      </c>
    </row>
    <row r="225" spans="1:8" ht="25.5">
      <c r="A225" s="502">
        <v>4722</v>
      </c>
      <c r="B225" s="504" t="s">
        <v>571</v>
      </c>
      <c r="C225" s="1871" t="s">
        <v>49</v>
      </c>
      <c r="D225" s="1872">
        <v>5.8399999999999997E-3</v>
      </c>
      <c r="E225" s="1856">
        <v>79.73</v>
      </c>
      <c r="F225" s="492">
        <f t="shared" si="1"/>
        <v>0.46</v>
      </c>
    </row>
    <row r="226" spans="1:8">
      <c r="A226" s="502">
        <v>7258</v>
      </c>
      <c r="B226" s="504" t="s">
        <v>179</v>
      </c>
      <c r="C226" s="1871" t="s">
        <v>57</v>
      </c>
      <c r="D226" s="1870">
        <v>89</v>
      </c>
      <c r="E226" s="1856">
        <v>0.76</v>
      </c>
      <c r="F226" s="492">
        <f t="shared" si="1"/>
        <v>67.64</v>
      </c>
    </row>
    <row r="227" spans="1:8" ht="15.75" thickBot="1">
      <c r="A227" s="506"/>
      <c r="B227" s="1873"/>
      <c r="C227" s="1874"/>
      <c r="D227" s="1875"/>
      <c r="E227" s="1858" t="s">
        <v>60</v>
      </c>
      <c r="F227" s="1807">
        <f>SUM(F218:F226)</f>
        <v>105.27000000000001</v>
      </c>
    </row>
    <row r="228" spans="1:8" ht="15.75" thickBot="1">
      <c r="A228" s="508"/>
      <c r="B228" s="2235" t="s">
        <v>55</v>
      </c>
      <c r="C228" s="2235"/>
      <c r="D228" s="2235"/>
      <c r="E228" s="2235"/>
      <c r="F228" s="509">
        <f>F216+F227</f>
        <v>232.56</v>
      </c>
    </row>
    <row r="229" spans="1:8" ht="15.75" thickBot="1"/>
    <row r="230" spans="1:8" ht="26.25" thickBot="1">
      <c r="A230" s="461" t="s">
        <v>572</v>
      </c>
      <c r="B230" s="462" t="s">
        <v>1609</v>
      </c>
      <c r="C230" s="191" t="s">
        <v>57</v>
      </c>
      <c r="D230" s="224"/>
      <c r="E230" s="224"/>
      <c r="F230" s="225"/>
      <c r="H230" s="463" t="s">
        <v>489</v>
      </c>
    </row>
    <row r="231" spans="1:8">
      <c r="A231" s="2220" t="s">
        <v>1611</v>
      </c>
      <c r="B231" s="2221"/>
      <c r="C231" s="2221"/>
      <c r="D231" s="2221"/>
      <c r="E231" s="2221"/>
      <c r="F231" s="2222"/>
    </row>
    <row r="232" spans="1:8" ht="30">
      <c r="A232" s="78"/>
      <c r="B232" s="79" t="s">
        <v>50</v>
      </c>
      <c r="C232" s="80" t="s">
        <v>51</v>
      </c>
      <c r="D232" s="81" t="s">
        <v>52</v>
      </c>
      <c r="E232" s="82" t="s">
        <v>53</v>
      </c>
      <c r="F232" s="83" t="s">
        <v>54</v>
      </c>
    </row>
    <row r="233" spans="1:8">
      <c r="A233" s="150">
        <v>88264</v>
      </c>
      <c r="B233" s="101" t="s">
        <v>97</v>
      </c>
      <c r="C233" s="97" t="s">
        <v>59</v>
      </c>
      <c r="D233" s="232">
        <v>0.34599999999999997</v>
      </c>
      <c r="E233" s="228">
        <v>23.24</v>
      </c>
      <c r="F233" s="464">
        <f>TRUNC(D233*E233,2)</f>
        <v>8.0399999999999991</v>
      </c>
    </row>
    <row r="234" spans="1:8" ht="25.5">
      <c r="A234" s="84">
        <v>88247</v>
      </c>
      <c r="B234" s="101" t="s">
        <v>96</v>
      </c>
      <c r="C234" s="97" t="s">
        <v>59</v>
      </c>
      <c r="D234" s="232">
        <v>0.34599999999999997</v>
      </c>
      <c r="E234" s="230">
        <v>19.2</v>
      </c>
      <c r="F234" s="464">
        <f>TRUNC(D234*E234,2)</f>
        <v>6.64</v>
      </c>
    </row>
    <row r="235" spans="1:8">
      <c r="A235" s="223"/>
      <c r="B235" s="222"/>
      <c r="C235" s="87"/>
      <c r="D235" s="88"/>
      <c r="E235" s="140" t="s">
        <v>60</v>
      </c>
      <c r="F235" s="466">
        <f>SUM(F233:F234)</f>
        <v>14.68</v>
      </c>
    </row>
    <row r="236" spans="1:8" ht="30">
      <c r="A236" s="95"/>
      <c r="B236" s="99" t="s">
        <v>98</v>
      </c>
      <c r="C236" s="92" t="s">
        <v>51</v>
      </c>
      <c r="D236" s="93" t="s">
        <v>52</v>
      </c>
      <c r="E236" s="105" t="s">
        <v>64</v>
      </c>
      <c r="F236" s="94" t="s">
        <v>54</v>
      </c>
    </row>
    <row r="237" spans="1:8" ht="25.5">
      <c r="A237" s="84">
        <v>39771</v>
      </c>
      <c r="B237" s="208" t="s">
        <v>1612</v>
      </c>
      <c r="C237" s="97" t="s">
        <v>57</v>
      </c>
      <c r="D237" s="465">
        <v>1</v>
      </c>
      <c r="E237" s="230">
        <v>46.95</v>
      </c>
      <c r="F237" s="464">
        <f>TRUNC(D237*E237,2)</f>
        <v>46.95</v>
      </c>
    </row>
    <row r="238" spans="1:8" ht="15.75" thickBot="1">
      <c r="A238" s="156"/>
      <c r="B238" s="157"/>
      <c r="C238" s="158"/>
      <c r="D238" s="159"/>
      <c r="E238" s="140" t="s">
        <v>60</v>
      </c>
      <c r="F238" s="467">
        <f>SUM(F237:F237)</f>
        <v>46.95</v>
      </c>
    </row>
    <row r="239" spans="1:8" ht="15.75" thickBot="1">
      <c r="A239" s="196"/>
      <c r="B239" s="2234" t="s">
        <v>55</v>
      </c>
      <c r="C239" s="2234"/>
      <c r="D239" s="2234"/>
      <c r="E239" s="2234"/>
      <c r="F239" s="470">
        <f>F235+F238</f>
        <v>61.63</v>
      </c>
    </row>
    <row r="240" spans="1:8" ht="15.75" thickBot="1"/>
    <row r="241" spans="1:9" ht="26.25" thickBot="1">
      <c r="A241" s="461" t="s">
        <v>574</v>
      </c>
      <c r="B241" s="462" t="s">
        <v>1610</v>
      </c>
      <c r="C241" s="191" t="s">
        <v>57</v>
      </c>
      <c r="D241" s="224"/>
      <c r="E241" s="224"/>
      <c r="F241" s="225"/>
      <c r="H241" s="463" t="s">
        <v>489</v>
      </c>
    </row>
    <row r="242" spans="1:9">
      <c r="A242" s="2220" t="s">
        <v>1611</v>
      </c>
      <c r="B242" s="2221"/>
      <c r="C242" s="2221"/>
      <c r="D242" s="2221"/>
      <c r="E242" s="2221"/>
      <c r="F242" s="2222"/>
    </row>
    <row r="243" spans="1:9" ht="30">
      <c r="A243" s="78"/>
      <c r="B243" s="79" t="s">
        <v>50</v>
      </c>
      <c r="C243" s="80" t="s">
        <v>51</v>
      </c>
      <c r="D243" s="81" t="s">
        <v>52</v>
      </c>
      <c r="E243" s="82" t="s">
        <v>53</v>
      </c>
      <c r="F243" s="83" t="s">
        <v>54</v>
      </c>
    </row>
    <row r="244" spans="1:9">
      <c r="A244" s="150">
        <v>88264</v>
      </c>
      <c r="B244" s="101" t="s">
        <v>97</v>
      </c>
      <c r="C244" s="97" t="s">
        <v>59</v>
      </c>
      <c r="D244" s="232">
        <v>0.34599999999999997</v>
      </c>
      <c r="E244" s="228">
        <v>23.24</v>
      </c>
      <c r="F244" s="464">
        <f>TRUNC(D244*E244,2)</f>
        <v>8.0399999999999991</v>
      </c>
    </row>
    <row r="245" spans="1:9" ht="25.5">
      <c r="A245" s="84">
        <v>88247</v>
      </c>
      <c r="B245" s="101" t="s">
        <v>96</v>
      </c>
      <c r="C245" s="97" t="s">
        <v>59</v>
      </c>
      <c r="D245" s="232">
        <v>0.34599999999999997</v>
      </c>
      <c r="E245" s="1422">
        <v>19.2</v>
      </c>
      <c r="F245" s="464">
        <f>TRUNC(D245*E245,2)</f>
        <v>6.64</v>
      </c>
    </row>
    <row r="246" spans="1:9">
      <c r="A246" s="776"/>
      <c r="B246" s="222"/>
      <c r="C246" s="87"/>
      <c r="D246" s="88"/>
      <c r="E246" s="1534" t="s">
        <v>60</v>
      </c>
      <c r="F246" s="466">
        <f>SUM(F244:F245)</f>
        <v>14.68</v>
      </c>
    </row>
    <row r="247" spans="1:9" ht="30">
      <c r="A247" s="95"/>
      <c r="B247" s="1389" t="s">
        <v>98</v>
      </c>
      <c r="C247" s="92" t="s">
        <v>51</v>
      </c>
      <c r="D247" s="93" t="s">
        <v>52</v>
      </c>
      <c r="E247" s="105" t="s">
        <v>64</v>
      </c>
      <c r="F247" s="94" t="s">
        <v>54</v>
      </c>
    </row>
    <row r="248" spans="1:9" ht="25.5">
      <c r="A248" s="84">
        <v>39773</v>
      </c>
      <c r="B248" s="208" t="s">
        <v>1613</v>
      </c>
      <c r="C248" s="97" t="s">
        <v>57</v>
      </c>
      <c r="D248" s="465">
        <v>1</v>
      </c>
      <c r="E248" s="1422">
        <v>148.33000000000001</v>
      </c>
      <c r="F248" s="464">
        <f>TRUNC(D248*E248,2)</f>
        <v>148.33000000000001</v>
      </c>
    </row>
    <row r="249" spans="1:9" ht="15.75" thickBot="1">
      <c r="A249" s="1837"/>
      <c r="B249" s="1838"/>
      <c r="C249" s="1839"/>
      <c r="D249" s="1840"/>
      <c r="E249" s="1534" t="s">
        <v>60</v>
      </c>
      <c r="F249" s="1883">
        <f>SUM(F248:F248)</f>
        <v>148.33000000000001</v>
      </c>
    </row>
    <row r="250" spans="1:9" ht="15.75" thickBot="1">
      <c r="A250" s="196"/>
      <c r="B250" s="2234" t="s">
        <v>55</v>
      </c>
      <c r="C250" s="2234"/>
      <c r="D250" s="2234"/>
      <c r="E250" s="2234"/>
      <c r="F250" s="470">
        <f>F246+F249</f>
        <v>163.01000000000002</v>
      </c>
    </row>
    <row r="251" spans="1:9" ht="15.75" thickBot="1"/>
    <row r="252" spans="1:9" ht="15.75" thickBot="1">
      <c r="A252" s="461" t="s">
        <v>1616</v>
      </c>
      <c r="B252" s="462" t="s">
        <v>1636</v>
      </c>
      <c r="C252" s="191" t="s">
        <v>56</v>
      </c>
      <c r="D252" s="224"/>
      <c r="E252" s="224"/>
      <c r="F252" s="225"/>
      <c r="I252" s="780"/>
    </row>
    <row r="253" spans="1:9">
      <c r="A253" s="2220" t="s">
        <v>1617</v>
      </c>
      <c r="B253" s="2221"/>
      <c r="C253" s="2221"/>
      <c r="D253" s="2221"/>
      <c r="E253" s="2221"/>
      <c r="F253" s="2222"/>
    </row>
    <row r="254" spans="1:9" ht="30">
      <c r="A254" s="78"/>
      <c r="B254" s="79" t="s">
        <v>50</v>
      </c>
      <c r="C254" s="80" t="s">
        <v>51</v>
      </c>
      <c r="D254" s="81" t="s">
        <v>52</v>
      </c>
      <c r="E254" s="82" t="s">
        <v>53</v>
      </c>
      <c r="F254" s="83" t="s">
        <v>54</v>
      </c>
      <c r="H254" s="463" t="s">
        <v>489</v>
      </c>
    </row>
    <row r="255" spans="1:9">
      <c r="A255" s="150">
        <v>88264</v>
      </c>
      <c r="B255" s="101" t="s">
        <v>97</v>
      </c>
      <c r="C255" s="97" t="s">
        <v>59</v>
      </c>
      <c r="D255" s="232">
        <v>0.15</v>
      </c>
      <c r="E255" s="228">
        <v>23.24</v>
      </c>
      <c r="F255" s="464">
        <f>TRUNC(D255*E255,2)</f>
        <v>3.48</v>
      </c>
    </row>
    <row r="256" spans="1:9" ht="25.5">
      <c r="A256" s="84">
        <v>88247</v>
      </c>
      <c r="B256" s="101" t="s">
        <v>96</v>
      </c>
      <c r="C256" s="97" t="s">
        <v>59</v>
      </c>
      <c r="D256" s="232">
        <v>0.15</v>
      </c>
      <c r="E256" s="1422">
        <v>19.2</v>
      </c>
      <c r="F256" s="464">
        <f>TRUNC(D256*E256,2)</f>
        <v>2.88</v>
      </c>
    </row>
    <row r="257" spans="1:10">
      <c r="A257" s="776"/>
      <c r="B257" s="222"/>
      <c r="C257" s="87"/>
      <c r="D257" s="88"/>
      <c r="E257" s="1534" t="s">
        <v>60</v>
      </c>
      <c r="F257" s="466">
        <f>SUM(F255:F256)</f>
        <v>6.3599999999999994</v>
      </c>
    </row>
    <row r="258" spans="1:10" ht="30">
      <c r="A258" s="95"/>
      <c r="B258" s="1389" t="s">
        <v>98</v>
      </c>
      <c r="C258" s="92" t="s">
        <v>51</v>
      </c>
      <c r="D258" s="93" t="s">
        <v>52</v>
      </c>
      <c r="E258" s="105" t="s">
        <v>64</v>
      </c>
      <c r="F258" s="94" t="s">
        <v>54</v>
      </c>
    </row>
    <row r="259" spans="1:10">
      <c r="A259" s="84" t="s">
        <v>67</v>
      </c>
      <c r="B259" s="208" t="s">
        <v>1638</v>
      </c>
      <c r="C259" s="97" t="s">
        <v>56</v>
      </c>
      <c r="D259" s="465">
        <v>1</v>
      </c>
      <c r="E259" s="1422">
        <v>3.36</v>
      </c>
      <c r="F259" s="464">
        <f>TRUNC(D259*E259,2)</f>
        <v>3.36</v>
      </c>
    </row>
    <row r="260" spans="1:10" ht="15.75" thickBot="1">
      <c r="A260" s="1837"/>
      <c r="B260" s="1838"/>
      <c r="C260" s="1839"/>
      <c r="D260" s="1840"/>
      <c r="E260" s="1534" t="s">
        <v>60</v>
      </c>
      <c r="F260" s="1883">
        <f>SUM(F259:F259)</f>
        <v>3.36</v>
      </c>
    </row>
    <row r="261" spans="1:10" ht="15.75" thickBot="1">
      <c r="A261" s="196"/>
      <c r="B261" s="2234" t="s">
        <v>55</v>
      </c>
      <c r="C261" s="2234"/>
      <c r="D261" s="2234"/>
      <c r="E261" s="2234"/>
      <c r="F261" s="470">
        <f>F257+F260</f>
        <v>9.7199999999999989</v>
      </c>
    </row>
    <row r="262" spans="1:10">
      <c r="A262" s="473"/>
      <c r="B262" s="2120" t="s">
        <v>99</v>
      </c>
      <c r="C262" s="2121"/>
      <c r="D262" s="2121"/>
      <c r="E262" s="2122"/>
      <c r="F262" s="474"/>
    </row>
    <row r="263" spans="1:10" ht="25.5">
      <c r="A263" s="160" t="s">
        <v>61</v>
      </c>
      <c r="B263" s="105" t="s">
        <v>100</v>
      </c>
      <c r="C263" s="298" t="s">
        <v>101</v>
      </c>
      <c r="D263" s="2098" t="s">
        <v>62</v>
      </c>
      <c r="E263" s="2098"/>
      <c r="F263" s="161" t="s">
        <v>102</v>
      </c>
    </row>
    <row r="264" spans="1:10" ht="25.5">
      <c r="A264" s="227">
        <v>44706</v>
      </c>
      <c r="B264" s="208" t="s">
        <v>539</v>
      </c>
      <c r="C264" s="206">
        <v>3.36</v>
      </c>
      <c r="D264" s="2153" t="s">
        <v>540</v>
      </c>
      <c r="E264" s="2154"/>
      <c r="F264" s="142" t="s">
        <v>2277</v>
      </c>
    </row>
    <row r="265" spans="1:10" ht="25.5">
      <c r="A265" s="227">
        <v>44702</v>
      </c>
      <c r="B265" s="208" t="s">
        <v>2282</v>
      </c>
      <c r="C265" s="206">
        <v>2.73</v>
      </c>
      <c r="D265" s="2153" t="s">
        <v>2283</v>
      </c>
      <c r="E265" s="2154"/>
      <c r="F265" s="142" t="s">
        <v>2284</v>
      </c>
      <c r="I265" s="955" t="s">
        <v>2285</v>
      </c>
      <c r="J265" s="324">
        <f>832/305</f>
        <v>2.7278688524590162</v>
      </c>
    </row>
    <row r="266" spans="1:10" ht="25.5">
      <c r="A266" s="227">
        <v>44702</v>
      </c>
      <c r="B266" s="208" t="s">
        <v>2290</v>
      </c>
      <c r="C266" s="206">
        <v>4.93</v>
      </c>
      <c r="D266" s="2153" t="s">
        <v>2291</v>
      </c>
      <c r="E266" s="2154"/>
      <c r="F266" s="142" t="s">
        <v>2292</v>
      </c>
    </row>
    <row r="267" spans="1:10" ht="15.75" thickBot="1">
      <c r="A267" s="143"/>
      <c r="B267" s="316" t="s">
        <v>63</v>
      </c>
      <c r="C267" s="144">
        <f>MEDIAN(C264:C266)</f>
        <v>3.36</v>
      </c>
      <c r="D267" s="2103"/>
      <c r="E267" s="2104"/>
      <c r="F267" s="145"/>
    </row>
    <row r="268" spans="1:10" ht="15.75" thickBot="1">
      <c r="A268" s="515"/>
      <c r="B268" s="774"/>
      <c r="C268" s="774"/>
      <c r="D268" s="774"/>
      <c r="E268" s="774"/>
      <c r="F268" s="775"/>
    </row>
    <row r="269" spans="1:10" ht="15.75" customHeight="1" thickBot="1">
      <c r="A269" s="461" t="s">
        <v>1614</v>
      </c>
      <c r="B269" s="462" t="s">
        <v>1649</v>
      </c>
      <c r="C269" s="191" t="s">
        <v>57</v>
      </c>
      <c r="D269" s="224"/>
      <c r="E269" s="224"/>
      <c r="F269" s="225"/>
      <c r="I269" s="789" t="s">
        <v>1339</v>
      </c>
    </row>
    <row r="270" spans="1:10">
      <c r="A270" s="2220" t="s">
        <v>1650</v>
      </c>
      <c r="B270" s="2221"/>
      <c r="C270" s="2221"/>
      <c r="D270" s="2221"/>
      <c r="E270" s="2221"/>
      <c r="F270" s="2222"/>
      <c r="H270" s="463" t="s">
        <v>489</v>
      </c>
    </row>
    <row r="271" spans="1:10" ht="30">
      <c r="A271" s="78"/>
      <c r="B271" s="79" t="s">
        <v>50</v>
      </c>
      <c r="C271" s="80" t="s">
        <v>51</v>
      </c>
      <c r="D271" s="81" t="s">
        <v>52</v>
      </c>
      <c r="E271" s="82" t="s">
        <v>53</v>
      </c>
      <c r="F271" s="83" t="s">
        <v>54</v>
      </c>
    </row>
    <row r="272" spans="1:10" ht="15.75" thickBot="1">
      <c r="A272" s="1876">
        <v>88264</v>
      </c>
      <c r="B272" s="1803" t="s">
        <v>97</v>
      </c>
      <c r="C272" s="1367" t="s">
        <v>59</v>
      </c>
      <c r="D272" s="1877">
        <v>0.3</v>
      </c>
      <c r="E272" s="1369">
        <v>23.24</v>
      </c>
      <c r="F272" s="1878">
        <f>TRUNC(D272*E272,2)</f>
        <v>6.97</v>
      </c>
    </row>
    <row r="273" spans="1:8" ht="25.5">
      <c r="A273" s="1879">
        <v>88247</v>
      </c>
      <c r="B273" s="1880" t="s">
        <v>96</v>
      </c>
      <c r="C273" s="1373" t="s">
        <v>59</v>
      </c>
      <c r="D273" s="1406">
        <v>0.3</v>
      </c>
      <c r="E273" s="1881">
        <v>19.2</v>
      </c>
      <c r="F273" s="1882">
        <f>TRUNC(D273*E273,2)</f>
        <v>5.76</v>
      </c>
    </row>
    <row r="274" spans="1:8">
      <c r="A274" s="776"/>
      <c r="B274" s="222"/>
      <c r="C274" s="87"/>
      <c r="D274" s="88"/>
      <c r="E274" s="1534" t="s">
        <v>60</v>
      </c>
      <c r="F274" s="466">
        <f>SUM(F272:F273)</f>
        <v>12.73</v>
      </c>
    </row>
    <row r="275" spans="1:8" ht="30">
      <c r="A275" s="95"/>
      <c r="B275" s="1389" t="s">
        <v>98</v>
      </c>
      <c r="C275" s="92" t="s">
        <v>51</v>
      </c>
      <c r="D275" s="93" t="s">
        <v>52</v>
      </c>
      <c r="E275" s="105" t="s">
        <v>64</v>
      </c>
      <c r="F275" s="94" t="s">
        <v>54</v>
      </c>
    </row>
    <row r="276" spans="1:8" ht="38.25">
      <c r="A276" s="84" t="s">
        <v>67</v>
      </c>
      <c r="B276" s="477" t="s">
        <v>1648</v>
      </c>
      <c r="C276" s="97" t="s">
        <v>57</v>
      </c>
      <c r="D276" s="465">
        <v>1</v>
      </c>
      <c r="E276" s="1422">
        <v>434.68</v>
      </c>
      <c r="F276" s="464">
        <f>TRUNC(D276*E276,2)</f>
        <v>434.68</v>
      </c>
    </row>
    <row r="277" spans="1:8" ht="15.75" thickBot="1">
      <c r="A277" s="1837"/>
      <c r="B277" s="1838"/>
      <c r="C277" s="1839"/>
      <c r="D277" s="1840"/>
      <c r="E277" s="1534" t="s">
        <v>60</v>
      </c>
      <c r="F277" s="1883">
        <f>SUM(F276:F276)</f>
        <v>434.68</v>
      </c>
    </row>
    <row r="278" spans="1:8" ht="15.75" thickBot="1">
      <c r="A278" s="196"/>
      <c r="B278" s="2234" t="s">
        <v>55</v>
      </c>
      <c r="C278" s="2234"/>
      <c r="D278" s="2234"/>
      <c r="E278" s="2234"/>
      <c r="F278" s="470">
        <f>F274+F277</f>
        <v>447.41</v>
      </c>
    </row>
    <row r="279" spans="1:8">
      <c r="A279" s="197"/>
      <c r="B279" s="2095" t="s">
        <v>99</v>
      </c>
      <c r="C279" s="2096"/>
      <c r="D279" s="2096"/>
      <c r="E279" s="2097"/>
      <c r="F279" s="198"/>
    </row>
    <row r="280" spans="1:8" ht="25.5">
      <c r="A280" s="160" t="s">
        <v>61</v>
      </c>
      <c r="B280" s="105" t="s">
        <v>100</v>
      </c>
      <c r="C280" s="298" t="s">
        <v>101</v>
      </c>
      <c r="D280" s="2098" t="s">
        <v>62</v>
      </c>
      <c r="E280" s="2098"/>
      <c r="F280" s="161" t="s">
        <v>102</v>
      </c>
    </row>
    <row r="281" spans="1:8" ht="25.5">
      <c r="A281" s="227">
        <v>44707</v>
      </c>
      <c r="B281" s="208" t="s">
        <v>2279</v>
      </c>
      <c r="C281" s="100">
        <v>411.71</v>
      </c>
      <c r="D281" s="2153" t="s">
        <v>2278</v>
      </c>
      <c r="E281" s="2154"/>
      <c r="F281" s="142" t="s">
        <v>2280</v>
      </c>
    </row>
    <row r="282" spans="1:8" ht="25.5">
      <c r="A282" s="227">
        <v>44706</v>
      </c>
      <c r="B282" s="208" t="s">
        <v>2325</v>
      </c>
      <c r="C282" s="100">
        <v>542.78</v>
      </c>
      <c r="D282" s="2153" t="s">
        <v>2326</v>
      </c>
      <c r="E282" s="2154"/>
      <c r="F282" s="142" t="s">
        <v>2327</v>
      </c>
    </row>
    <row r="283" spans="1:8" ht="25.5">
      <c r="A283" s="227">
        <v>44705</v>
      </c>
      <c r="B283" s="208" t="s">
        <v>2331</v>
      </c>
      <c r="C283" s="100">
        <v>434.68</v>
      </c>
      <c r="D283" s="2153" t="s">
        <v>2332</v>
      </c>
      <c r="E283" s="2154"/>
      <c r="F283" s="142" t="s">
        <v>2333</v>
      </c>
    </row>
    <row r="284" spans="1:8" ht="15.75" thickBot="1">
      <c r="A284" s="143"/>
      <c r="B284" s="316" t="s">
        <v>63</v>
      </c>
      <c r="C284" s="144">
        <f>MEDIAN(C281:C283)</f>
        <v>434.68</v>
      </c>
      <c r="D284" s="2103"/>
      <c r="E284" s="2104"/>
      <c r="F284" s="145"/>
    </row>
    <row r="285" spans="1:8" ht="15.75" thickBot="1">
      <c r="A285" s="515"/>
      <c r="B285" s="774"/>
      <c r="C285" s="774"/>
      <c r="D285" s="774"/>
      <c r="E285" s="774"/>
      <c r="F285" s="775"/>
    </row>
    <row r="286" spans="1:8" ht="26.25" customHeight="1" thickBot="1">
      <c r="A286" s="461" t="s">
        <v>1615</v>
      </c>
      <c r="B286" s="462" t="s">
        <v>1651</v>
      </c>
      <c r="C286" s="191" t="s">
        <v>57</v>
      </c>
      <c r="D286" s="224"/>
      <c r="E286" s="224"/>
      <c r="F286" s="225"/>
    </row>
    <row r="287" spans="1:8">
      <c r="A287" s="2220" t="s">
        <v>1654</v>
      </c>
      <c r="B287" s="2221"/>
      <c r="C287" s="2221"/>
      <c r="D287" s="2221"/>
      <c r="E287" s="2221"/>
      <c r="F287" s="2222"/>
      <c r="H287" s="463" t="s">
        <v>489</v>
      </c>
    </row>
    <row r="288" spans="1:8" ht="30">
      <c r="A288" s="78"/>
      <c r="B288" s="79" t="s">
        <v>50</v>
      </c>
      <c r="C288" s="80" t="s">
        <v>51</v>
      </c>
      <c r="D288" s="81" t="s">
        <v>52</v>
      </c>
      <c r="E288" s="82" t="s">
        <v>53</v>
      </c>
      <c r="F288" s="83" t="s">
        <v>54</v>
      </c>
    </row>
    <row r="289" spans="1:6">
      <c r="A289" s="150">
        <v>88264</v>
      </c>
      <c r="B289" s="101" t="s">
        <v>97</v>
      </c>
      <c r="C289" s="97" t="s">
        <v>59</v>
      </c>
      <c r="D289" s="231">
        <v>0.39550000000000002</v>
      </c>
      <c r="E289" s="228">
        <v>23.24</v>
      </c>
      <c r="F289" s="464">
        <f>TRUNC(D289*E289,2)</f>
        <v>9.19</v>
      </c>
    </row>
    <row r="290" spans="1:6" ht="25.5">
      <c r="A290" s="84">
        <v>88247</v>
      </c>
      <c r="B290" s="101" t="s">
        <v>96</v>
      </c>
      <c r="C290" s="97" t="s">
        <v>59</v>
      </c>
      <c r="D290" s="231">
        <v>0.39550000000000002</v>
      </c>
      <c r="E290" s="1422">
        <v>19.2</v>
      </c>
      <c r="F290" s="464">
        <f>TRUNC(D290*E290,2)</f>
        <v>7.59</v>
      </c>
    </row>
    <row r="291" spans="1:6">
      <c r="A291" s="776"/>
      <c r="B291" s="222"/>
      <c r="C291" s="87"/>
      <c r="D291" s="88"/>
      <c r="E291" s="1534" t="s">
        <v>60</v>
      </c>
      <c r="F291" s="466">
        <f>SUM(F289:F290)</f>
        <v>16.78</v>
      </c>
    </row>
    <row r="292" spans="1:6" ht="30">
      <c r="A292" s="95"/>
      <c r="B292" s="1389" t="s">
        <v>98</v>
      </c>
      <c r="C292" s="92" t="s">
        <v>51</v>
      </c>
      <c r="D292" s="93" t="s">
        <v>52</v>
      </c>
      <c r="E292" s="105" t="s">
        <v>64</v>
      </c>
      <c r="F292" s="94" t="s">
        <v>54</v>
      </c>
    </row>
    <row r="293" spans="1:6" ht="38.25">
      <c r="A293" s="84" t="s">
        <v>67</v>
      </c>
      <c r="B293" s="477" t="s">
        <v>1652</v>
      </c>
      <c r="C293" s="97" t="s">
        <v>57</v>
      </c>
      <c r="D293" s="465">
        <v>1</v>
      </c>
      <c r="E293" s="1422">
        <v>53.45</v>
      </c>
      <c r="F293" s="464">
        <f>TRUNC(D293*E293,2)</f>
        <v>53.45</v>
      </c>
    </row>
    <row r="294" spans="1:6" ht="15.75" thickBot="1">
      <c r="A294" s="1837"/>
      <c r="B294" s="1838"/>
      <c r="C294" s="1839"/>
      <c r="D294" s="1840"/>
      <c r="E294" s="1534" t="s">
        <v>60</v>
      </c>
      <c r="F294" s="1883">
        <f>SUM(F293:F293)</f>
        <v>53.45</v>
      </c>
    </row>
    <row r="295" spans="1:6" ht="15.75" thickBot="1">
      <c r="A295" s="196"/>
      <c r="B295" s="2234" t="s">
        <v>55</v>
      </c>
      <c r="C295" s="2234"/>
      <c r="D295" s="2234"/>
      <c r="E295" s="2234"/>
      <c r="F295" s="470">
        <f>F291+F294</f>
        <v>70.23</v>
      </c>
    </row>
    <row r="296" spans="1:6">
      <c r="A296" s="197"/>
      <c r="B296" s="2095" t="s">
        <v>99</v>
      </c>
      <c r="C296" s="2096"/>
      <c r="D296" s="2096"/>
      <c r="E296" s="2097"/>
      <c r="F296" s="198"/>
    </row>
    <row r="297" spans="1:6" ht="25.5">
      <c r="A297" s="160" t="s">
        <v>61</v>
      </c>
      <c r="B297" s="105" t="s">
        <v>100</v>
      </c>
      <c r="C297" s="298" t="s">
        <v>101</v>
      </c>
      <c r="D297" s="2098" t="s">
        <v>62</v>
      </c>
      <c r="E297" s="2098"/>
      <c r="F297" s="161" t="s">
        <v>102</v>
      </c>
    </row>
    <row r="298" spans="1:6" ht="25.5">
      <c r="A298" s="227">
        <v>44707</v>
      </c>
      <c r="B298" s="208" t="s">
        <v>2279</v>
      </c>
      <c r="C298" s="100">
        <v>81.28</v>
      </c>
      <c r="D298" s="2153" t="s">
        <v>2278</v>
      </c>
      <c r="E298" s="2154"/>
      <c r="F298" s="142" t="s">
        <v>2280</v>
      </c>
    </row>
    <row r="299" spans="1:6" ht="25.5">
      <c r="A299" s="227">
        <v>44707</v>
      </c>
      <c r="B299" s="208" t="s">
        <v>2317</v>
      </c>
      <c r="C299" s="100">
        <v>42.95</v>
      </c>
      <c r="D299" s="2153" t="s">
        <v>103</v>
      </c>
      <c r="E299" s="2154"/>
      <c r="F299" s="142" t="s">
        <v>2318</v>
      </c>
    </row>
    <row r="300" spans="1:6" ht="25.5">
      <c r="A300" s="227">
        <v>44708</v>
      </c>
      <c r="B300" s="208" t="s">
        <v>2329</v>
      </c>
      <c r="C300" s="100">
        <v>53.45</v>
      </c>
      <c r="D300" s="2153" t="s">
        <v>2328</v>
      </c>
      <c r="E300" s="2154"/>
      <c r="F300" s="142" t="s">
        <v>2330</v>
      </c>
    </row>
    <row r="301" spans="1:6" ht="15.75" thickBot="1">
      <c r="A301" s="143"/>
      <c r="B301" s="316" t="s">
        <v>63</v>
      </c>
      <c r="C301" s="144">
        <f>MEDIAN(C298:C300)</f>
        <v>53.45</v>
      </c>
      <c r="D301" s="2103"/>
      <c r="E301" s="2104"/>
      <c r="F301" s="145"/>
    </row>
    <row r="302" spans="1:6" ht="15.75" thickBot="1">
      <c r="A302" s="515"/>
      <c r="B302" s="774"/>
      <c r="C302" s="774"/>
      <c r="D302" s="774"/>
      <c r="E302" s="774"/>
      <c r="F302" s="775"/>
    </row>
    <row r="303" spans="1:6" ht="19.5" customHeight="1" thickBot="1">
      <c r="A303" s="461" t="s">
        <v>1653</v>
      </c>
      <c r="B303" s="462" t="s">
        <v>1656</v>
      </c>
      <c r="C303" s="191" t="s">
        <v>57</v>
      </c>
      <c r="D303" s="224"/>
      <c r="E303" s="224"/>
      <c r="F303" s="225"/>
    </row>
    <row r="304" spans="1:6">
      <c r="A304" s="2220" t="s">
        <v>1657</v>
      </c>
      <c r="B304" s="2221"/>
      <c r="C304" s="2221"/>
      <c r="D304" s="2221"/>
      <c r="E304" s="2221"/>
      <c r="F304" s="2222"/>
    </row>
    <row r="305" spans="1:9" ht="30">
      <c r="A305" s="78"/>
      <c r="B305" s="79" t="s">
        <v>50</v>
      </c>
      <c r="C305" s="80" t="s">
        <v>51</v>
      </c>
      <c r="D305" s="81" t="s">
        <v>52</v>
      </c>
      <c r="E305" s="82" t="s">
        <v>53</v>
      </c>
      <c r="F305" s="83" t="s">
        <v>54</v>
      </c>
    </row>
    <row r="306" spans="1:9">
      <c r="A306" s="150">
        <v>88264</v>
      </c>
      <c r="B306" s="101" t="s">
        <v>97</v>
      </c>
      <c r="C306" s="97" t="s">
        <v>59</v>
      </c>
      <c r="D306" s="232">
        <v>0.25</v>
      </c>
      <c r="E306" s="228">
        <v>23.24</v>
      </c>
      <c r="F306" s="464">
        <f>TRUNC(D306*E306,2)</f>
        <v>5.81</v>
      </c>
    </row>
    <row r="307" spans="1:9" ht="25.5">
      <c r="A307" s="84">
        <v>88247</v>
      </c>
      <c r="B307" s="101" t="s">
        <v>96</v>
      </c>
      <c r="C307" s="97" t="s">
        <v>59</v>
      </c>
      <c r="D307" s="232">
        <v>0.25</v>
      </c>
      <c r="E307" s="1422">
        <v>19.2</v>
      </c>
      <c r="F307" s="464">
        <f>TRUNC(D307*E307,2)</f>
        <v>4.8</v>
      </c>
    </row>
    <row r="308" spans="1:9">
      <c r="A308" s="776"/>
      <c r="B308" s="222"/>
      <c r="C308" s="87"/>
      <c r="D308" s="88"/>
      <c r="E308" s="1534" t="s">
        <v>60</v>
      </c>
      <c r="F308" s="466">
        <f>SUM(F306:F307)</f>
        <v>10.61</v>
      </c>
    </row>
    <row r="309" spans="1:9" ht="30">
      <c r="A309" s="95"/>
      <c r="B309" s="1389" t="s">
        <v>98</v>
      </c>
      <c r="C309" s="92" t="s">
        <v>51</v>
      </c>
      <c r="D309" s="93" t="s">
        <v>52</v>
      </c>
      <c r="E309" s="105" t="s">
        <v>64</v>
      </c>
      <c r="F309" s="94" t="s">
        <v>54</v>
      </c>
    </row>
    <row r="310" spans="1:9">
      <c r="A310" s="84" t="s">
        <v>67</v>
      </c>
      <c r="B310" s="477" t="s">
        <v>1655</v>
      </c>
      <c r="C310" s="97" t="s">
        <v>57</v>
      </c>
      <c r="D310" s="465">
        <v>1</v>
      </c>
      <c r="E310" s="1422">
        <v>23.8</v>
      </c>
      <c r="F310" s="464">
        <f>TRUNC(D310*E310,2)</f>
        <v>23.8</v>
      </c>
    </row>
    <row r="311" spans="1:9" ht="15.75" thickBot="1">
      <c r="A311" s="1837"/>
      <c r="B311" s="1838"/>
      <c r="C311" s="1839"/>
      <c r="D311" s="1840"/>
      <c r="E311" s="1534" t="s">
        <v>60</v>
      </c>
      <c r="F311" s="1883">
        <f>SUM(F310:F310)</f>
        <v>23.8</v>
      </c>
    </row>
    <row r="312" spans="1:9" ht="15.75" thickBot="1">
      <c r="A312" s="196"/>
      <c r="B312" s="2234" t="s">
        <v>55</v>
      </c>
      <c r="C312" s="2234"/>
      <c r="D312" s="2234"/>
      <c r="E312" s="2234"/>
      <c r="F312" s="470">
        <f>F308+F311</f>
        <v>34.409999999999997</v>
      </c>
    </row>
    <row r="313" spans="1:9">
      <c r="A313" s="197"/>
      <c r="B313" s="2095" t="s">
        <v>99</v>
      </c>
      <c r="C313" s="2096"/>
      <c r="D313" s="2096"/>
      <c r="E313" s="2097"/>
      <c r="F313" s="198"/>
    </row>
    <row r="314" spans="1:9" ht="25.5">
      <c r="A314" s="160" t="s">
        <v>61</v>
      </c>
      <c r="B314" s="105" t="s">
        <v>100</v>
      </c>
      <c r="C314" s="298" t="s">
        <v>101</v>
      </c>
      <c r="D314" s="2098" t="s">
        <v>62</v>
      </c>
      <c r="E314" s="2098"/>
      <c r="F314" s="161" t="s">
        <v>102</v>
      </c>
    </row>
    <row r="315" spans="1:9" ht="25.5">
      <c r="A315" s="227">
        <v>44707</v>
      </c>
      <c r="B315" s="208" t="s">
        <v>2279</v>
      </c>
      <c r="C315" s="100">
        <v>24.63</v>
      </c>
      <c r="D315" s="2153" t="s">
        <v>2278</v>
      </c>
      <c r="E315" s="2154"/>
      <c r="F315" s="142" t="s">
        <v>2280</v>
      </c>
    </row>
    <row r="316" spans="1:9" ht="25.5">
      <c r="A316" s="227">
        <v>44705</v>
      </c>
      <c r="B316" s="208" t="s">
        <v>2331</v>
      </c>
      <c r="C316" s="100">
        <v>16.420000000000002</v>
      </c>
      <c r="D316" s="2153" t="s">
        <v>2332</v>
      </c>
      <c r="E316" s="2154"/>
      <c r="F316" s="142" t="s">
        <v>2333</v>
      </c>
    </row>
    <row r="317" spans="1:9">
      <c r="A317" s="227">
        <v>44705</v>
      </c>
      <c r="B317" s="208" t="s">
        <v>2389</v>
      </c>
      <c r="C317" s="100">
        <v>38.43</v>
      </c>
      <c r="D317" s="2153" t="s">
        <v>2400</v>
      </c>
      <c r="E317" s="2154"/>
      <c r="F317" s="1360" t="s">
        <v>2401</v>
      </c>
      <c r="H317">
        <f>54.23-31.6</f>
        <v>22.629999999999995</v>
      </c>
      <c r="I317" t="s">
        <v>2390</v>
      </c>
    </row>
    <row r="318" spans="1:9" ht="15.75" thickBot="1">
      <c r="A318" s="143"/>
      <c r="B318" s="316" t="s">
        <v>63</v>
      </c>
      <c r="C318" s="144">
        <f>MEDIAN(C315:C317)</f>
        <v>24.63</v>
      </c>
      <c r="D318" s="2103"/>
      <c r="E318" s="2104"/>
      <c r="F318" s="145"/>
    </row>
    <row r="319" spans="1:9" ht="15.75" thickBot="1">
      <c r="A319" s="515"/>
      <c r="B319" s="774"/>
      <c r="C319" s="774"/>
      <c r="D319" s="774"/>
      <c r="E319" s="774"/>
      <c r="F319" s="775"/>
    </row>
    <row r="320" spans="1:9" ht="26.25" thickBot="1">
      <c r="A320" s="461" t="s">
        <v>1659</v>
      </c>
      <c r="B320" s="471" t="s">
        <v>553</v>
      </c>
      <c r="C320" s="191" t="s">
        <v>57</v>
      </c>
      <c r="D320" s="224"/>
      <c r="E320" s="224"/>
      <c r="F320" s="225"/>
      <c r="H320" s="463"/>
      <c r="I320" s="780" t="s">
        <v>1621</v>
      </c>
    </row>
    <row r="321" spans="1:8">
      <c r="A321" s="2220" t="s">
        <v>554</v>
      </c>
      <c r="B321" s="2221"/>
      <c r="C321" s="2221"/>
      <c r="D321" s="2221"/>
      <c r="E321" s="2221"/>
      <c r="F321" s="2222"/>
      <c r="H321" s="463" t="s">
        <v>489</v>
      </c>
    </row>
    <row r="322" spans="1:8" ht="30.75" thickBot="1">
      <c r="A322" s="1884"/>
      <c r="B322" s="1885" t="s">
        <v>50</v>
      </c>
      <c r="C322" s="1886" t="s">
        <v>51</v>
      </c>
      <c r="D322" s="1887" t="s">
        <v>52</v>
      </c>
      <c r="E322" s="1888" t="s">
        <v>53</v>
      </c>
      <c r="F322" s="1889" t="s">
        <v>54</v>
      </c>
    </row>
    <row r="323" spans="1:8">
      <c r="A323" s="1890">
        <v>88264</v>
      </c>
      <c r="B323" s="1880" t="s">
        <v>97</v>
      </c>
      <c r="C323" s="1891" t="s">
        <v>59</v>
      </c>
      <c r="D323" s="1406">
        <v>4</v>
      </c>
      <c r="E323" s="1375">
        <v>23.24</v>
      </c>
      <c r="F323" s="1882">
        <f>TRUNC(D323*E323,2)</f>
        <v>92.96</v>
      </c>
    </row>
    <row r="324" spans="1:8" ht="25.5">
      <c r="A324" s="138">
        <v>88247</v>
      </c>
      <c r="B324" s="101" t="s">
        <v>96</v>
      </c>
      <c r="C324" s="472" t="s">
        <v>59</v>
      </c>
      <c r="D324" s="232">
        <v>4</v>
      </c>
      <c r="E324" s="1422">
        <v>19.2</v>
      </c>
      <c r="F324" s="464">
        <f>TRUNC(D324*E324,2)</f>
        <v>76.8</v>
      </c>
    </row>
    <row r="325" spans="1:8">
      <c r="A325" s="776"/>
      <c r="B325" s="222"/>
      <c r="C325" s="87"/>
      <c r="D325" s="88"/>
      <c r="E325" s="1534" t="s">
        <v>60</v>
      </c>
      <c r="F325" s="466">
        <f>SUM(F323:F324)</f>
        <v>169.76</v>
      </c>
    </row>
    <row r="326" spans="1:8" ht="30">
      <c r="A326" s="95"/>
      <c r="B326" s="1389" t="s">
        <v>98</v>
      </c>
      <c r="C326" s="92" t="s">
        <v>51</v>
      </c>
      <c r="D326" s="93" t="s">
        <v>52</v>
      </c>
      <c r="E326" s="105" t="s">
        <v>64</v>
      </c>
      <c r="F326" s="94" t="s">
        <v>54</v>
      </c>
    </row>
    <row r="327" spans="1:8" ht="51">
      <c r="A327" s="795">
        <v>43093</v>
      </c>
      <c r="B327" s="794" t="s">
        <v>1660</v>
      </c>
      <c r="C327" s="1892" t="s">
        <v>57</v>
      </c>
      <c r="D327" s="465">
        <v>1</v>
      </c>
      <c r="E327" s="1422">
        <v>252.92</v>
      </c>
      <c r="F327" s="464">
        <f>TRUNC(D327*E327,2)</f>
        <v>252.92</v>
      </c>
    </row>
    <row r="328" spans="1:8" ht="51">
      <c r="A328" s="1310">
        <v>3380</v>
      </c>
      <c r="B328" s="793" t="s">
        <v>555</v>
      </c>
      <c r="C328" s="97" t="s">
        <v>57</v>
      </c>
      <c r="D328" s="465">
        <v>1</v>
      </c>
      <c r="E328" s="1422">
        <v>60.19</v>
      </c>
      <c r="F328" s="464">
        <f>TRUNC(D328*E328,2)</f>
        <v>60.19</v>
      </c>
    </row>
    <row r="329" spans="1:8" ht="15.75" thickBot="1">
      <c r="A329" s="1837"/>
      <c r="B329" s="1838"/>
      <c r="C329" s="1839"/>
      <c r="D329" s="1840"/>
      <c r="E329" s="1534" t="s">
        <v>60</v>
      </c>
      <c r="F329" s="1883">
        <f>SUM(F327:F328)</f>
        <v>313.11</v>
      </c>
    </row>
    <row r="330" spans="1:8" ht="15.75" thickBot="1">
      <c r="A330" s="196"/>
      <c r="B330" s="2223" t="s">
        <v>55</v>
      </c>
      <c r="C330" s="2224"/>
      <c r="D330" s="2224"/>
      <c r="E330" s="2225"/>
      <c r="F330" s="470">
        <f>F325+F329</f>
        <v>482.87</v>
      </c>
    </row>
    <row r="331" spans="1:8" ht="15.75" thickBot="1"/>
    <row r="332" spans="1:8" ht="15.75" thickBot="1">
      <c r="A332" s="461" t="s">
        <v>1662</v>
      </c>
      <c r="B332" s="462" t="s">
        <v>560</v>
      </c>
      <c r="C332" s="191" t="s">
        <v>57</v>
      </c>
      <c r="D332" s="224"/>
      <c r="E332" s="224"/>
      <c r="F332" s="225"/>
      <c r="H332" s="463"/>
    </row>
    <row r="333" spans="1:8">
      <c r="A333" s="2220" t="s">
        <v>561</v>
      </c>
      <c r="B333" s="2221"/>
      <c r="C333" s="2221"/>
      <c r="D333" s="2221"/>
      <c r="E333" s="2221"/>
      <c r="F333" s="2222"/>
      <c r="H333" s="463" t="s">
        <v>489</v>
      </c>
    </row>
    <row r="334" spans="1:8" ht="30">
      <c r="A334" s="78"/>
      <c r="B334" s="79" t="s">
        <v>50</v>
      </c>
      <c r="C334" s="80" t="s">
        <v>51</v>
      </c>
      <c r="D334" s="81" t="s">
        <v>52</v>
      </c>
      <c r="E334" s="82" t="s">
        <v>53</v>
      </c>
      <c r="F334" s="83" t="s">
        <v>54</v>
      </c>
    </row>
    <row r="335" spans="1:8">
      <c r="A335" s="358">
        <v>88264</v>
      </c>
      <c r="B335" s="101" t="s">
        <v>97</v>
      </c>
      <c r="C335" s="97" t="s">
        <v>59</v>
      </c>
      <c r="D335" s="137">
        <v>0.6</v>
      </c>
      <c r="E335" s="228">
        <v>23.24</v>
      </c>
      <c r="F335" s="86">
        <f>TRUNC(D335*E335,2)</f>
        <v>13.94</v>
      </c>
    </row>
    <row r="336" spans="1:8" ht="25.5">
      <c r="A336" s="138">
        <v>88247</v>
      </c>
      <c r="B336" s="101" t="s">
        <v>96</v>
      </c>
      <c r="C336" s="97" t="s">
        <v>59</v>
      </c>
      <c r="D336" s="137">
        <v>0.6</v>
      </c>
      <c r="E336" s="1422">
        <v>19.2</v>
      </c>
      <c r="F336" s="86">
        <f>TRUNC(D336*E336,2)</f>
        <v>11.52</v>
      </c>
    </row>
    <row r="337" spans="1:9">
      <c r="A337" s="776"/>
      <c r="B337" s="222"/>
      <c r="C337" s="87"/>
      <c r="D337" s="88"/>
      <c r="E337" s="1534" t="s">
        <v>60</v>
      </c>
      <c r="F337" s="89">
        <f>SUM(F335:F336)</f>
        <v>25.46</v>
      </c>
    </row>
    <row r="338" spans="1:9" ht="30">
      <c r="A338" s="95"/>
      <c r="B338" s="1389" t="s">
        <v>98</v>
      </c>
      <c r="C338" s="92" t="s">
        <v>51</v>
      </c>
      <c r="D338" s="93" t="s">
        <v>52</v>
      </c>
      <c r="E338" s="105" t="s">
        <v>64</v>
      </c>
      <c r="F338" s="94" t="s">
        <v>54</v>
      </c>
    </row>
    <row r="339" spans="1:9">
      <c r="A339" s="138" t="s">
        <v>67</v>
      </c>
      <c r="B339" s="401" t="s">
        <v>560</v>
      </c>
      <c r="C339" s="97" t="s">
        <v>57</v>
      </c>
      <c r="D339" s="106">
        <v>1</v>
      </c>
      <c r="E339" s="1841">
        <v>276.23</v>
      </c>
      <c r="F339" s="86">
        <f>TRUNC(D339*E339,2)</f>
        <v>276.23</v>
      </c>
    </row>
    <row r="340" spans="1:9" ht="15.75" thickBot="1">
      <c r="A340" s="1837"/>
      <c r="B340" s="1838"/>
      <c r="C340" s="1839"/>
      <c r="D340" s="1840"/>
      <c r="E340" s="1534" t="s">
        <v>60</v>
      </c>
      <c r="F340" s="1395">
        <f>SUM(F339:F339)</f>
        <v>276.23</v>
      </c>
    </row>
    <row r="341" spans="1:9" ht="15.75" thickBot="1">
      <c r="A341" s="196"/>
      <c r="B341" s="2223" t="s">
        <v>55</v>
      </c>
      <c r="C341" s="2224"/>
      <c r="D341" s="2224"/>
      <c r="E341" s="2225"/>
      <c r="F341" s="199">
        <f>F337+F340</f>
        <v>301.69</v>
      </c>
    </row>
    <row r="342" spans="1:9">
      <c r="A342" s="197"/>
      <c r="B342" s="2226" t="s">
        <v>99</v>
      </c>
      <c r="C342" s="2227"/>
      <c r="D342" s="2227"/>
      <c r="E342" s="2228"/>
      <c r="F342" s="198"/>
    </row>
    <row r="343" spans="1:9" ht="25.5">
      <c r="A343" s="160" t="s">
        <v>61</v>
      </c>
      <c r="B343" s="105" t="s">
        <v>100</v>
      </c>
      <c r="C343" s="298" t="s">
        <v>101</v>
      </c>
      <c r="D343" s="2229" t="s">
        <v>62</v>
      </c>
      <c r="E343" s="2230"/>
      <c r="F343" s="161" t="s">
        <v>102</v>
      </c>
    </row>
    <row r="344" spans="1:9" ht="25.5">
      <c r="A344" s="227">
        <v>44707</v>
      </c>
      <c r="B344" s="208" t="s">
        <v>2279</v>
      </c>
      <c r="C344" s="100">
        <v>346.43</v>
      </c>
      <c r="D344" s="2153" t="s">
        <v>2278</v>
      </c>
      <c r="E344" s="2154"/>
      <c r="F344" s="142" t="s">
        <v>2280</v>
      </c>
      <c r="I344" s="457"/>
    </row>
    <row r="345" spans="1:9" ht="25.5">
      <c r="A345" s="227">
        <v>44707</v>
      </c>
      <c r="B345" s="208" t="s">
        <v>2317</v>
      </c>
      <c r="C345" s="100">
        <v>254.96</v>
      </c>
      <c r="D345" s="2153" t="s">
        <v>103</v>
      </c>
      <c r="E345" s="2154"/>
      <c r="F345" s="142" t="s">
        <v>2318</v>
      </c>
    </row>
    <row r="346" spans="1:9" ht="25.5">
      <c r="A346" s="227">
        <v>44708</v>
      </c>
      <c r="B346" s="208" t="s">
        <v>2329</v>
      </c>
      <c r="C346" s="100">
        <v>276.23</v>
      </c>
      <c r="D346" s="2153" t="s">
        <v>2328</v>
      </c>
      <c r="E346" s="2154"/>
      <c r="F346" s="142" t="s">
        <v>2330</v>
      </c>
    </row>
    <row r="347" spans="1:9" ht="15.75" thickBot="1">
      <c r="A347" s="143"/>
      <c r="B347" s="316" t="s">
        <v>63</v>
      </c>
      <c r="C347" s="144">
        <f>MEDIAN(C344:C346)</f>
        <v>276.23</v>
      </c>
      <c r="D347" s="2103"/>
      <c r="E347" s="2104"/>
      <c r="F347" s="145"/>
    </row>
    <row r="348" spans="1:9" ht="15.75" thickBot="1"/>
    <row r="349" spans="1:9" ht="15.75" thickBot="1">
      <c r="A349" s="461" t="s">
        <v>1663</v>
      </c>
      <c r="B349" s="462" t="s">
        <v>557</v>
      </c>
      <c r="C349" s="191" t="s">
        <v>57</v>
      </c>
      <c r="D349" s="224"/>
      <c r="E349" s="224"/>
      <c r="F349" s="225"/>
    </row>
    <row r="350" spans="1:9" ht="15" customHeight="1">
      <c r="A350" s="2231" t="s">
        <v>558</v>
      </c>
      <c r="B350" s="2232"/>
      <c r="C350" s="2232"/>
      <c r="D350" s="2232"/>
      <c r="E350" s="2232"/>
      <c r="F350" s="2233"/>
      <c r="H350" s="463" t="s">
        <v>489</v>
      </c>
    </row>
    <row r="351" spans="1:9" ht="30">
      <c r="A351" s="78"/>
      <c r="B351" s="79" t="s">
        <v>50</v>
      </c>
      <c r="C351" s="80" t="s">
        <v>51</v>
      </c>
      <c r="D351" s="81" t="s">
        <v>52</v>
      </c>
      <c r="E351" s="82" t="s">
        <v>53</v>
      </c>
      <c r="F351" s="83" t="s">
        <v>54</v>
      </c>
    </row>
    <row r="352" spans="1:9">
      <c r="A352" s="358">
        <v>88264</v>
      </c>
      <c r="B352" s="101" t="s">
        <v>97</v>
      </c>
      <c r="C352" s="97" t="s">
        <v>59</v>
      </c>
      <c r="D352" s="232">
        <v>0.05</v>
      </c>
      <c r="E352" s="228">
        <v>23.24</v>
      </c>
      <c r="F352" s="464">
        <f>TRUNC(D352*E352,2)</f>
        <v>1.1599999999999999</v>
      </c>
    </row>
    <row r="353" spans="1:9" ht="25.5">
      <c r="A353" s="138">
        <v>88247</v>
      </c>
      <c r="B353" s="101" t="s">
        <v>96</v>
      </c>
      <c r="C353" s="97" t="s">
        <v>59</v>
      </c>
      <c r="D353" s="232">
        <v>0.05</v>
      </c>
      <c r="E353" s="1422">
        <v>19.2</v>
      </c>
      <c r="F353" s="464">
        <f>TRUNC(D353*E353,2)</f>
        <v>0.96</v>
      </c>
    </row>
    <row r="354" spans="1:9">
      <c r="A354" s="776"/>
      <c r="B354" s="222"/>
      <c r="C354" s="87"/>
      <c r="D354" s="88"/>
      <c r="E354" s="1534" t="s">
        <v>60</v>
      </c>
      <c r="F354" s="466">
        <f>SUM(F352:F353)</f>
        <v>2.12</v>
      </c>
    </row>
    <row r="355" spans="1:9" ht="30">
      <c r="A355" s="95"/>
      <c r="B355" s="1389" t="s">
        <v>98</v>
      </c>
      <c r="C355" s="92" t="s">
        <v>51</v>
      </c>
      <c r="D355" s="93" t="s">
        <v>52</v>
      </c>
      <c r="E355" s="105" t="s">
        <v>64</v>
      </c>
      <c r="F355" s="94" t="s">
        <v>54</v>
      </c>
    </row>
    <row r="356" spans="1:9">
      <c r="A356" s="138" t="s">
        <v>67</v>
      </c>
      <c r="B356" s="208" t="s">
        <v>557</v>
      </c>
      <c r="C356" s="97" t="s">
        <v>57</v>
      </c>
      <c r="D356" s="465">
        <v>1</v>
      </c>
      <c r="E356" s="1422">
        <v>5.79</v>
      </c>
      <c r="F356" s="464">
        <f>TRUNC(D356*E356,2)</f>
        <v>5.79</v>
      </c>
    </row>
    <row r="357" spans="1:9" ht="15.75" thickBot="1">
      <c r="A357" s="1837"/>
      <c r="B357" s="1838"/>
      <c r="C357" s="1839"/>
      <c r="D357" s="1840"/>
      <c r="E357" s="1534" t="s">
        <v>60</v>
      </c>
      <c r="F357" s="1883">
        <f>SUM(F356:F356)</f>
        <v>5.79</v>
      </c>
    </row>
    <row r="358" spans="1:9" ht="15.75" thickBot="1">
      <c r="A358" s="196"/>
      <c r="B358" s="2223" t="s">
        <v>55</v>
      </c>
      <c r="C358" s="2224"/>
      <c r="D358" s="2224"/>
      <c r="E358" s="2225"/>
      <c r="F358" s="470">
        <f>F354+F357</f>
        <v>7.91</v>
      </c>
    </row>
    <row r="359" spans="1:9">
      <c r="A359" s="197"/>
      <c r="B359" s="2226" t="s">
        <v>99</v>
      </c>
      <c r="C359" s="2227"/>
      <c r="D359" s="2227"/>
      <c r="E359" s="2228"/>
      <c r="F359" s="198"/>
    </row>
    <row r="360" spans="1:9" ht="25.5">
      <c r="A360" s="160" t="s">
        <v>61</v>
      </c>
      <c r="B360" s="105" t="s">
        <v>100</v>
      </c>
      <c r="C360" s="298" t="s">
        <v>101</v>
      </c>
      <c r="D360" s="2229" t="s">
        <v>62</v>
      </c>
      <c r="E360" s="2230"/>
      <c r="F360" s="161" t="s">
        <v>102</v>
      </c>
    </row>
    <row r="361" spans="1:9" ht="25.5">
      <c r="A361" s="227">
        <v>44707</v>
      </c>
      <c r="B361" s="208" t="s">
        <v>2279</v>
      </c>
      <c r="C361" s="100">
        <v>2.48</v>
      </c>
      <c r="D361" s="2153" t="s">
        <v>2278</v>
      </c>
      <c r="E361" s="2154"/>
      <c r="F361" s="142" t="s">
        <v>2280</v>
      </c>
    </row>
    <row r="362" spans="1:9" ht="25.5">
      <c r="A362" s="227">
        <v>44707</v>
      </c>
      <c r="B362" s="208" t="s">
        <v>2317</v>
      </c>
      <c r="C362" s="100">
        <v>5.79</v>
      </c>
      <c r="D362" s="2153" t="s">
        <v>103</v>
      </c>
      <c r="E362" s="2154"/>
      <c r="F362" s="142" t="s">
        <v>2318</v>
      </c>
    </row>
    <row r="363" spans="1:9" ht="25.5">
      <c r="A363" s="227">
        <v>44705</v>
      </c>
      <c r="B363" s="208" t="s">
        <v>2331</v>
      </c>
      <c r="C363" s="100">
        <v>6.37</v>
      </c>
      <c r="D363" s="2153" t="s">
        <v>2332</v>
      </c>
      <c r="E363" s="2154"/>
      <c r="F363" s="142" t="s">
        <v>2333</v>
      </c>
      <c r="H363" s="1523"/>
      <c r="I363" s="457"/>
    </row>
    <row r="364" spans="1:9" ht="15.75" thickBot="1">
      <c r="A364" s="143"/>
      <c r="B364" s="316" t="s">
        <v>63</v>
      </c>
      <c r="C364" s="144">
        <f>MEDIAN(C361:C363)</f>
        <v>5.79</v>
      </c>
      <c r="D364" s="2103"/>
      <c r="E364" s="2104"/>
      <c r="F364" s="145"/>
    </row>
    <row r="365" spans="1:9" ht="15.75" thickBot="1"/>
    <row r="366" spans="1:9" ht="25.5">
      <c r="A366" s="424" t="s">
        <v>1673</v>
      </c>
      <c r="B366" s="806" t="s">
        <v>1675</v>
      </c>
      <c r="C366" s="152" t="s">
        <v>57</v>
      </c>
      <c r="D366" s="807"/>
      <c r="E366" s="807"/>
      <c r="F366" s="808"/>
    </row>
    <row r="367" spans="1:9">
      <c r="A367" s="2217" t="s">
        <v>1611</v>
      </c>
      <c r="B367" s="2218"/>
      <c r="C367" s="2218"/>
      <c r="D367" s="2218"/>
      <c r="E367" s="2218"/>
      <c r="F367" s="2219"/>
      <c r="H367" s="463" t="s">
        <v>489</v>
      </c>
    </row>
    <row r="368" spans="1:9" ht="30">
      <c r="A368" s="78"/>
      <c r="B368" s="79" t="s">
        <v>50</v>
      </c>
      <c r="C368" s="80" t="s">
        <v>51</v>
      </c>
      <c r="D368" s="81" t="s">
        <v>52</v>
      </c>
      <c r="E368" s="82" t="s">
        <v>53</v>
      </c>
      <c r="F368" s="83" t="s">
        <v>54</v>
      </c>
    </row>
    <row r="369" spans="1:9">
      <c r="A369" s="150">
        <v>88264</v>
      </c>
      <c r="B369" s="101" t="s">
        <v>97</v>
      </c>
      <c r="C369" s="97" t="s">
        <v>59</v>
      </c>
      <c r="D369" s="232">
        <v>0.34599999999999997</v>
      </c>
      <c r="E369" s="228">
        <v>23.24</v>
      </c>
      <c r="F369" s="464">
        <f>TRUNC(D369*E369,2)</f>
        <v>8.0399999999999991</v>
      </c>
    </row>
    <row r="370" spans="1:9" ht="25.5">
      <c r="A370" s="84">
        <v>88247</v>
      </c>
      <c r="B370" s="101" t="s">
        <v>96</v>
      </c>
      <c r="C370" s="97" t="s">
        <v>59</v>
      </c>
      <c r="D370" s="232">
        <v>0.34599999999999997</v>
      </c>
      <c r="E370" s="1422">
        <v>19.2</v>
      </c>
      <c r="F370" s="464">
        <f>TRUNC(D370*E370,2)</f>
        <v>6.64</v>
      </c>
    </row>
    <row r="371" spans="1:9" ht="15.75" thickBot="1">
      <c r="A371" s="1893"/>
      <c r="B371" s="1894"/>
      <c r="C371" s="1895"/>
      <c r="D371" s="1896"/>
      <c r="E371" s="1433" t="s">
        <v>60</v>
      </c>
      <c r="F371" s="1828">
        <f>SUM(F369:F370)</f>
        <v>14.68</v>
      </c>
    </row>
    <row r="372" spans="1:9" ht="30">
      <c r="A372" s="1897"/>
      <c r="B372" s="1898" t="s">
        <v>98</v>
      </c>
      <c r="C372" s="1470" t="s">
        <v>51</v>
      </c>
      <c r="D372" s="1471" t="s">
        <v>52</v>
      </c>
      <c r="E372" s="1472" t="s">
        <v>64</v>
      </c>
      <c r="F372" s="1491" t="s">
        <v>54</v>
      </c>
    </row>
    <row r="373" spans="1:9" ht="25.5">
      <c r="A373" s="84">
        <v>39772</v>
      </c>
      <c r="B373" s="208" t="s">
        <v>1674</v>
      </c>
      <c r="C373" s="97" t="s">
        <v>57</v>
      </c>
      <c r="D373" s="465">
        <v>1</v>
      </c>
      <c r="E373" s="1422">
        <v>92.28</v>
      </c>
      <c r="F373" s="464">
        <f>TRUNC(D373*E373,2)</f>
        <v>92.28</v>
      </c>
    </row>
    <row r="374" spans="1:9">
      <c r="A374" s="639"/>
      <c r="B374" s="787"/>
      <c r="C374" s="87"/>
      <c r="D374" s="88"/>
      <c r="E374" s="299" t="s">
        <v>60</v>
      </c>
      <c r="F374" s="408">
        <f>SUM(F373:F373)</f>
        <v>92.28</v>
      </c>
    </row>
    <row r="375" spans="1:9" ht="15.75" thickBot="1">
      <c r="A375" s="1535"/>
      <c r="B375" s="2216" t="s">
        <v>55</v>
      </c>
      <c r="C375" s="2216"/>
      <c r="D375" s="2216"/>
      <c r="E375" s="2216"/>
      <c r="F375" s="1536">
        <f>F371+F374</f>
        <v>106.96000000000001</v>
      </c>
    </row>
    <row r="376" spans="1:9" ht="15.75" thickBot="1"/>
    <row r="377" spans="1:9" ht="25.5">
      <c r="A377" s="424" t="s">
        <v>1676</v>
      </c>
      <c r="B377" s="806" t="s">
        <v>2388</v>
      </c>
      <c r="C377" s="152" t="s">
        <v>57</v>
      </c>
      <c r="D377" s="807"/>
      <c r="E377" s="807"/>
      <c r="F377" s="808"/>
      <c r="H377" s="463"/>
      <c r="I377" s="783"/>
    </row>
    <row r="378" spans="1:9">
      <c r="A378" s="2217" t="s">
        <v>563</v>
      </c>
      <c r="B378" s="2218"/>
      <c r="C378" s="2218"/>
      <c r="D378" s="2218"/>
      <c r="E378" s="2218"/>
      <c r="F378" s="2219"/>
      <c r="H378" s="463" t="s">
        <v>489</v>
      </c>
    </row>
    <row r="379" spans="1:9" ht="30">
      <c r="A379" s="78"/>
      <c r="B379" s="79" t="s">
        <v>50</v>
      </c>
      <c r="C379" s="80" t="s">
        <v>51</v>
      </c>
      <c r="D379" s="81" t="s">
        <v>52</v>
      </c>
      <c r="E379" s="82" t="s">
        <v>53</v>
      </c>
      <c r="F379" s="83" t="s">
        <v>54</v>
      </c>
    </row>
    <row r="380" spans="1:9">
      <c r="A380" s="150">
        <v>88264</v>
      </c>
      <c r="B380" s="101" t="s">
        <v>97</v>
      </c>
      <c r="C380" s="97" t="s">
        <v>59</v>
      </c>
      <c r="D380" s="232">
        <v>0.4</v>
      </c>
      <c r="E380" s="228">
        <v>23.24</v>
      </c>
      <c r="F380" s="464">
        <f>TRUNC(D380*E380,2)</f>
        <v>9.2899999999999991</v>
      </c>
    </row>
    <row r="381" spans="1:9" ht="25.5">
      <c r="A381" s="84">
        <v>88247</v>
      </c>
      <c r="B381" s="101" t="s">
        <v>96</v>
      </c>
      <c r="C381" s="97" t="s">
        <v>59</v>
      </c>
      <c r="D381" s="232">
        <v>0.4</v>
      </c>
      <c r="E381" s="1422">
        <v>19.2</v>
      </c>
      <c r="F381" s="464">
        <f>TRUNC(D381*E381,2)</f>
        <v>7.68</v>
      </c>
    </row>
    <row r="382" spans="1:9">
      <c r="A382" s="776"/>
      <c r="B382" s="222"/>
      <c r="C382" s="87"/>
      <c r="D382" s="88"/>
      <c r="E382" s="1534" t="s">
        <v>60</v>
      </c>
      <c r="F382" s="466">
        <f>SUM(F380:F381)</f>
        <v>16.97</v>
      </c>
    </row>
    <row r="383" spans="1:9">
      <c r="A383" s="95"/>
      <c r="B383" s="1389" t="s">
        <v>98</v>
      </c>
      <c r="C383" s="92" t="s">
        <v>51</v>
      </c>
      <c r="D383" s="93" t="s">
        <v>52</v>
      </c>
      <c r="E383" s="105">
        <v>153.38999999999999</v>
      </c>
      <c r="F383" s="94" t="s">
        <v>54</v>
      </c>
    </row>
    <row r="384" spans="1:9">
      <c r="A384" s="138" t="s">
        <v>67</v>
      </c>
      <c r="B384" s="477" t="s">
        <v>1680</v>
      </c>
      <c r="C384" s="97" t="s">
        <v>57</v>
      </c>
      <c r="D384" s="465">
        <v>1</v>
      </c>
      <c r="E384" s="1422">
        <v>151.91999999999999</v>
      </c>
      <c r="F384" s="464">
        <f>TRUNC(D384*E384,2)</f>
        <v>151.91999999999999</v>
      </c>
    </row>
    <row r="385" spans="1:9">
      <c r="A385" s="639"/>
      <c r="B385" s="787"/>
      <c r="C385" s="87"/>
      <c r="D385" s="88"/>
      <c r="E385" s="299" t="s">
        <v>60</v>
      </c>
      <c r="F385" s="408">
        <f>SUM(F384:F384)</f>
        <v>151.91999999999999</v>
      </c>
    </row>
    <row r="386" spans="1:9" ht="15.75" thickBot="1">
      <c r="A386" s="1535"/>
      <c r="B386" s="2216" t="s">
        <v>55</v>
      </c>
      <c r="C386" s="2216"/>
      <c r="D386" s="2216"/>
      <c r="E386" s="2216"/>
      <c r="F386" s="1536">
        <f>F382+F385</f>
        <v>168.89</v>
      </c>
    </row>
    <row r="387" spans="1:9">
      <c r="A387" s="197"/>
      <c r="B387" s="2095" t="s">
        <v>99</v>
      </c>
      <c r="C387" s="2096"/>
      <c r="D387" s="2096"/>
      <c r="E387" s="2097"/>
      <c r="F387" s="198"/>
    </row>
    <row r="388" spans="1:9" ht="25.5">
      <c r="A388" s="160" t="s">
        <v>61</v>
      </c>
      <c r="B388" s="105" t="s">
        <v>100</v>
      </c>
      <c r="C388" s="298" t="s">
        <v>101</v>
      </c>
      <c r="D388" s="2098" t="s">
        <v>62</v>
      </c>
      <c r="E388" s="2098"/>
      <c r="F388" s="161" t="s">
        <v>102</v>
      </c>
    </row>
    <row r="389" spans="1:9" ht="25.5">
      <c r="A389" s="227">
        <v>44707</v>
      </c>
      <c r="B389" s="208" t="s">
        <v>2279</v>
      </c>
      <c r="C389" s="100">
        <v>123.25</v>
      </c>
      <c r="D389" s="2153" t="s">
        <v>2278</v>
      </c>
      <c r="E389" s="2154"/>
      <c r="F389" s="142" t="s">
        <v>2280</v>
      </c>
      <c r="I389" s="475"/>
    </row>
    <row r="390" spans="1:9" ht="25.5">
      <c r="A390" s="227">
        <v>44708</v>
      </c>
      <c r="B390" s="208" t="s">
        <v>2329</v>
      </c>
      <c r="C390" s="100">
        <v>153.38999999999999</v>
      </c>
      <c r="D390" s="2153" t="s">
        <v>2328</v>
      </c>
      <c r="E390" s="2154"/>
      <c r="F390" s="142" t="s">
        <v>2330</v>
      </c>
    </row>
    <row r="391" spans="1:9" ht="25.5">
      <c r="A391" s="227">
        <v>44707</v>
      </c>
      <c r="B391" s="208" t="s">
        <v>2317</v>
      </c>
      <c r="C391" s="100">
        <v>161.46</v>
      </c>
      <c r="D391" s="2153" t="s">
        <v>103</v>
      </c>
      <c r="E391" s="2154"/>
      <c r="F391" s="142" t="s">
        <v>2318</v>
      </c>
    </row>
    <row r="392" spans="1:9" ht="15.75" thickBot="1">
      <c r="A392" s="143"/>
      <c r="B392" s="316" t="s">
        <v>63</v>
      </c>
      <c r="C392" s="144">
        <f>MEDIAN(C389:C391)</f>
        <v>153.38999999999999</v>
      </c>
      <c r="D392" s="2103"/>
      <c r="E392" s="2104"/>
      <c r="F392" s="145"/>
    </row>
    <row r="393" spans="1:9" ht="15.75" thickBot="1"/>
    <row r="394" spans="1:9" ht="25.5" customHeight="1">
      <c r="A394" s="424" t="s">
        <v>1682</v>
      </c>
      <c r="B394" s="806" t="s">
        <v>1681</v>
      </c>
      <c r="C394" s="152" t="s">
        <v>57</v>
      </c>
      <c r="D394" s="807"/>
      <c r="E394" s="807"/>
      <c r="F394" s="808"/>
    </row>
    <row r="395" spans="1:9" ht="15" customHeight="1">
      <c r="A395" s="2217" t="s">
        <v>573</v>
      </c>
      <c r="B395" s="2218"/>
      <c r="C395" s="2218"/>
      <c r="D395" s="2218"/>
      <c r="E395" s="2218"/>
      <c r="F395" s="2219"/>
      <c r="H395" s="463" t="s">
        <v>489</v>
      </c>
    </row>
    <row r="396" spans="1:9" ht="30">
      <c r="A396" s="78"/>
      <c r="B396" s="79" t="s">
        <v>50</v>
      </c>
      <c r="C396" s="80" t="s">
        <v>51</v>
      </c>
      <c r="D396" s="81" t="s">
        <v>52</v>
      </c>
      <c r="E396" s="82" t="s">
        <v>53</v>
      </c>
      <c r="F396" s="83" t="s">
        <v>54</v>
      </c>
    </row>
    <row r="397" spans="1:9">
      <c r="A397" s="150">
        <v>88264</v>
      </c>
      <c r="B397" s="101" t="s">
        <v>97</v>
      </c>
      <c r="C397" s="97" t="s">
        <v>59</v>
      </c>
      <c r="D397" s="232">
        <v>0.3</v>
      </c>
      <c r="E397" s="228">
        <v>23.24</v>
      </c>
      <c r="F397" s="464">
        <f>TRUNC(D397*E397,2)</f>
        <v>6.97</v>
      </c>
    </row>
    <row r="398" spans="1:9" ht="25.5">
      <c r="A398" s="84">
        <v>88247</v>
      </c>
      <c r="B398" s="101" t="s">
        <v>96</v>
      </c>
      <c r="C398" s="97" t="s">
        <v>59</v>
      </c>
      <c r="D398" s="232">
        <v>0.3</v>
      </c>
      <c r="E398" s="1422">
        <v>19.2</v>
      </c>
      <c r="F398" s="464">
        <f>TRUNC(D398*E398,2)</f>
        <v>5.76</v>
      </c>
    </row>
    <row r="399" spans="1:9">
      <c r="A399" s="776"/>
      <c r="B399" s="222"/>
      <c r="C399" s="87"/>
      <c r="D399" s="88"/>
      <c r="E399" s="1534" t="s">
        <v>60</v>
      </c>
      <c r="F399" s="466">
        <f>SUM(F397:F398)</f>
        <v>12.73</v>
      </c>
    </row>
    <row r="400" spans="1:9" ht="30">
      <c r="A400" s="95"/>
      <c r="B400" s="1389" t="s">
        <v>98</v>
      </c>
      <c r="C400" s="92" t="s">
        <v>51</v>
      </c>
      <c r="D400" s="93" t="s">
        <v>52</v>
      </c>
      <c r="E400" s="105" t="s">
        <v>64</v>
      </c>
      <c r="F400" s="94" t="s">
        <v>54</v>
      </c>
    </row>
    <row r="401" spans="1:8" ht="25.5">
      <c r="A401" s="84">
        <v>39465</v>
      </c>
      <c r="B401" s="208" t="s">
        <v>1683</v>
      </c>
      <c r="C401" s="97" t="s">
        <v>57</v>
      </c>
      <c r="D401" s="465">
        <v>1</v>
      </c>
      <c r="E401" s="1422">
        <v>73.66</v>
      </c>
      <c r="F401" s="464">
        <f>TRUNC(D401*E401,2)</f>
        <v>73.66</v>
      </c>
    </row>
    <row r="402" spans="1:8">
      <c r="A402" s="639"/>
      <c r="B402" s="787"/>
      <c r="C402" s="87"/>
      <c r="D402" s="88"/>
      <c r="E402" s="299" t="s">
        <v>60</v>
      </c>
      <c r="F402" s="408">
        <f>SUM(F401:F401)</f>
        <v>73.66</v>
      </c>
    </row>
    <row r="403" spans="1:8" ht="15.75" thickBot="1">
      <c r="A403" s="1535"/>
      <c r="B403" s="2216" t="s">
        <v>55</v>
      </c>
      <c r="C403" s="2216"/>
      <c r="D403" s="2216"/>
      <c r="E403" s="2216"/>
      <c r="F403" s="1536">
        <f>F399+F402</f>
        <v>86.39</v>
      </c>
    </row>
    <row r="404" spans="1:8" ht="15.75" thickBot="1"/>
    <row r="405" spans="1:8">
      <c r="A405" s="424" t="s">
        <v>1693</v>
      </c>
      <c r="B405" s="806" t="s">
        <v>1695</v>
      </c>
      <c r="C405" s="152" t="s">
        <v>57</v>
      </c>
      <c r="D405" s="807"/>
      <c r="E405" s="807"/>
      <c r="F405" s="808"/>
    </row>
    <row r="406" spans="1:8">
      <c r="A406" s="2217" t="s">
        <v>1691</v>
      </c>
      <c r="B406" s="2218"/>
      <c r="C406" s="2218"/>
      <c r="D406" s="2218"/>
      <c r="E406" s="2218"/>
      <c r="F406" s="2219"/>
      <c r="H406" s="463" t="s">
        <v>489</v>
      </c>
    </row>
    <row r="407" spans="1:8" ht="30">
      <c r="A407" s="78"/>
      <c r="B407" s="79" t="s">
        <v>50</v>
      </c>
      <c r="C407" s="80" t="s">
        <v>51</v>
      </c>
      <c r="D407" s="81" t="s">
        <v>52</v>
      </c>
      <c r="E407" s="82" t="s">
        <v>53</v>
      </c>
      <c r="F407" s="83" t="s">
        <v>54</v>
      </c>
    </row>
    <row r="408" spans="1:8">
      <c r="A408" s="150">
        <v>88264</v>
      </c>
      <c r="B408" s="101" t="s">
        <v>97</v>
      </c>
      <c r="C408" s="97" t="s">
        <v>59</v>
      </c>
      <c r="D408" s="232">
        <v>0.05</v>
      </c>
      <c r="E408" s="228">
        <v>23.24</v>
      </c>
      <c r="F408" s="464">
        <f>TRUNC(D408*E408,2)</f>
        <v>1.1599999999999999</v>
      </c>
    </row>
    <row r="409" spans="1:8" ht="25.5">
      <c r="A409" s="84">
        <v>88247</v>
      </c>
      <c r="B409" s="101" t="s">
        <v>96</v>
      </c>
      <c r="C409" s="97" t="s">
        <v>59</v>
      </c>
      <c r="D409" s="232">
        <v>2.5000000000000001E-2</v>
      </c>
      <c r="E409" s="1422">
        <v>19.2</v>
      </c>
      <c r="F409" s="464">
        <f>TRUNC(D409*E409,2)</f>
        <v>0.48</v>
      </c>
    </row>
    <row r="410" spans="1:8">
      <c r="A410" s="776"/>
      <c r="B410" s="222"/>
      <c r="C410" s="87"/>
      <c r="D410" s="88"/>
      <c r="E410" s="1534" t="s">
        <v>60</v>
      </c>
      <c r="F410" s="466">
        <f>SUM(F408:F409)</f>
        <v>1.64</v>
      </c>
    </row>
    <row r="411" spans="1:8" ht="30">
      <c r="A411" s="95"/>
      <c r="B411" s="1389" t="s">
        <v>98</v>
      </c>
      <c r="C411" s="92" t="s">
        <v>51</v>
      </c>
      <c r="D411" s="93" t="s">
        <v>52</v>
      </c>
      <c r="E411" s="105" t="s">
        <v>64</v>
      </c>
      <c r="F411" s="94" t="s">
        <v>54</v>
      </c>
    </row>
    <row r="412" spans="1:8" ht="25.5">
      <c r="A412" s="84" t="s">
        <v>67</v>
      </c>
      <c r="B412" s="208" t="s">
        <v>2286</v>
      </c>
      <c r="C412" s="97" t="s">
        <v>57</v>
      </c>
      <c r="D412" s="465">
        <v>1</v>
      </c>
      <c r="E412" s="1422">
        <v>2.5299999999999998</v>
      </c>
      <c r="F412" s="464">
        <f>TRUNC(D412*E412,2)</f>
        <v>2.5299999999999998</v>
      </c>
    </row>
    <row r="413" spans="1:8">
      <c r="A413" s="639"/>
      <c r="B413" s="787"/>
      <c r="C413" s="87"/>
      <c r="D413" s="88"/>
      <c r="E413" s="299" t="s">
        <v>60</v>
      </c>
      <c r="F413" s="408">
        <f>SUM(F412:F412)</f>
        <v>2.5299999999999998</v>
      </c>
    </row>
    <row r="414" spans="1:8" ht="15.75" thickBot="1">
      <c r="A414" s="1535"/>
      <c r="B414" s="2216" t="s">
        <v>55</v>
      </c>
      <c r="C414" s="2216"/>
      <c r="D414" s="2216"/>
      <c r="E414" s="2216"/>
      <c r="F414" s="1536">
        <f>F410+F413</f>
        <v>4.17</v>
      </c>
    </row>
    <row r="415" spans="1:8">
      <c r="A415" s="197"/>
      <c r="B415" s="2095" t="s">
        <v>99</v>
      </c>
      <c r="C415" s="2096"/>
      <c r="D415" s="2096"/>
      <c r="E415" s="2097"/>
      <c r="F415" s="198"/>
    </row>
    <row r="416" spans="1:8" ht="25.5">
      <c r="A416" s="160" t="s">
        <v>61</v>
      </c>
      <c r="B416" s="105" t="s">
        <v>100</v>
      </c>
      <c r="C416" s="298" t="s">
        <v>101</v>
      </c>
      <c r="D416" s="2098" t="s">
        <v>62</v>
      </c>
      <c r="E416" s="2098"/>
      <c r="F416" s="161" t="s">
        <v>102</v>
      </c>
    </row>
    <row r="417" spans="1:8" ht="25.5">
      <c r="A417" s="227">
        <v>44702</v>
      </c>
      <c r="B417" s="208" t="s">
        <v>2290</v>
      </c>
      <c r="C417" s="206">
        <v>3.27</v>
      </c>
      <c r="D417" s="2153" t="s">
        <v>2291</v>
      </c>
      <c r="E417" s="2154"/>
      <c r="F417" s="142" t="s">
        <v>2292</v>
      </c>
    </row>
    <row r="418" spans="1:8" ht="25.5">
      <c r="A418" s="227">
        <v>44702</v>
      </c>
      <c r="B418" s="208" t="s">
        <v>2282</v>
      </c>
      <c r="C418" s="206">
        <v>2.5299999999999998</v>
      </c>
      <c r="D418" s="2153" t="s">
        <v>2283</v>
      </c>
      <c r="E418" s="2154"/>
      <c r="F418" s="142" t="s">
        <v>2284</v>
      </c>
    </row>
    <row r="419" spans="1:8" ht="25.5">
      <c r="A419" s="227">
        <v>44707</v>
      </c>
      <c r="B419" s="208" t="s">
        <v>2317</v>
      </c>
      <c r="C419" s="100">
        <v>1.53</v>
      </c>
      <c r="D419" s="2153" t="s">
        <v>103</v>
      </c>
      <c r="E419" s="2154"/>
      <c r="F419" s="142" t="s">
        <v>2318</v>
      </c>
    </row>
    <row r="420" spans="1:8" ht="15.75" thickBot="1">
      <c r="A420" s="143"/>
      <c r="B420" s="316" t="s">
        <v>63</v>
      </c>
      <c r="C420" s="144">
        <f>MEDIAN(C417:C419)</f>
        <v>2.5299999999999998</v>
      </c>
      <c r="D420" s="2103"/>
      <c r="E420" s="2104"/>
      <c r="F420" s="145"/>
    </row>
    <row r="421" spans="1:8" ht="15.75" thickBot="1"/>
    <row r="422" spans="1:8" ht="27.75" customHeight="1" thickBot="1">
      <c r="A422" s="461" t="s">
        <v>1696</v>
      </c>
      <c r="B422" s="462" t="s">
        <v>1687</v>
      </c>
      <c r="C422" s="191" t="s">
        <v>57</v>
      </c>
      <c r="D422" s="224"/>
      <c r="E422" s="224"/>
      <c r="F422" s="225"/>
      <c r="H422" s="463"/>
    </row>
    <row r="423" spans="1:8">
      <c r="A423" s="2244" t="s">
        <v>575</v>
      </c>
      <c r="B423" s="2245"/>
      <c r="C423" s="2245"/>
      <c r="D423" s="2245"/>
      <c r="E423" s="2245"/>
      <c r="F423" s="2246"/>
      <c r="H423" s="463" t="s">
        <v>489</v>
      </c>
    </row>
    <row r="424" spans="1:8" ht="30">
      <c r="A424" s="78"/>
      <c r="B424" s="79" t="s">
        <v>50</v>
      </c>
      <c r="C424" s="80" t="s">
        <v>51</v>
      </c>
      <c r="D424" s="81" t="s">
        <v>52</v>
      </c>
      <c r="E424" s="82" t="s">
        <v>53</v>
      </c>
      <c r="F424" s="83" t="s">
        <v>54</v>
      </c>
    </row>
    <row r="425" spans="1:8">
      <c r="A425" s="150">
        <v>88264</v>
      </c>
      <c r="B425" s="101" t="s">
        <v>97</v>
      </c>
      <c r="C425" s="97" t="s">
        <v>59</v>
      </c>
      <c r="D425" s="232">
        <v>1.2</v>
      </c>
      <c r="E425" s="228">
        <v>23.24</v>
      </c>
      <c r="F425" s="464">
        <f>TRUNC(D425*E425,2)</f>
        <v>27.88</v>
      </c>
    </row>
    <row r="426" spans="1:8" ht="25.5">
      <c r="A426" s="84">
        <v>88247</v>
      </c>
      <c r="B426" s="101" t="s">
        <v>96</v>
      </c>
      <c r="C426" s="97" t="s">
        <v>59</v>
      </c>
      <c r="D426" s="232">
        <v>1.2</v>
      </c>
      <c r="E426" s="1422">
        <v>19.2</v>
      </c>
      <c r="F426" s="464">
        <f>TRUNC(D426*E426,2)</f>
        <v>23.04</v>
      </c>
    </row>
    <row r="427" spans="1:8">
      <c r="A427" s="776"/>
      <c r="B427" s="222"/>
      <c r="C427" s="87"/>
      <c r="D427" s="88"/>
      <c r="E427" s="1534" t="s">
        <v>60</v>
      </c>
      <c r="F427" s="466">
        <f>SUM(F425:F426)</f>
        <v>50.92</v>
      </c>
    </row>
    <row r="428" spans="1:8" ht="30">
      <c r="A428" s="95"/>
      <c r="B428" s="1389" t="s">
        <v>98</v>
      </c>
      <c r="C428" s="92" t="s">
        <v>51</v>
      </c>
      <c r="D428" s="93" t="s">
        <v>52</v>
      </c>
      <c r="E428" s="105" t="s">
        <v>64</v>
      </c>
      <c r="F428" s="94" t="s">
        <v>54</v>
      </c>
    </row>
    <row r="429" spans="1:8">
      <c r="A429" s="391">
        <v>39387</v>
      </c>
      <c r="B429" s="401" t="s">
        <v>576</v>
      </c>
      <c r="C429" s="97" t="s">
        <v>57</v>
      </c>
      <c r="D429" s="465">
        <v>4</v>
      </c>
      <c r="E429" s="1422">
        <v>14.34</v>
      </c>
      <c r="F429" s="464">
        <f>TRUNC(D429*E429,2)</f>
        <v>57.36</v>
      </c>
    </row>
    <row r="430" spans="1:8" ht="25.5">
      <c r="A430" s="1310">
        <v>14543</v>
      </c>
      <c r="B430" s="401" t="s">
        <v>577</v>
      </c>
      <c r="C430" s="97" t="s">
        <v>57</v>
      </c>
      <c r="D430" s="1899">
        <v>4</v>
      </c>
      <c r="E430" s="1422">
        <v>6.81</v>
      </c>
      <c r="F430" s="464">
        <f>TRUNC(D430*E430,2)</f>
        <v>27.24</v>
      </c>
    </row>
    <row r="431" spans="1:8" ht="30" customHeight="1">
      <c r="A431" s="1310" t="s">
        <v>67</v>
      </c>
      <c r="B431" s="401" t="s">
        <v>1697</v>
      </c>
      <c r="C431" s="97" t="s">
        <v>57</v>
      </c>
      <c r="D431" s="1899">
        <v>1</v>
      </c>
      <c r="E431" s="1422">
        <v>283.95</v>
      </c>
      <c r="F431" s="464">
        <f>TRUNC(D431*E431,2)</f>
        <v>283.95</v>
      </c>
    </row>
    <row r="432" spans="1:8">
      <c r="A432" s="639"/>
      <c r="B432" s="787"/>
      <c r="C432" s="87"/>
      <c r="D432" s="88"/>
      <c r="E432" s="299" t="s">
        <v>60</v>
      </c>
      <c r="F432" s="408">
        <f>SUM(F429:F431)</f>
        <v>368.54999999999995</v>
      </c>
      <c r="H432" s="732"/>
    </row>
    <row r="433" spans="1:8" ht="15.75" thickBot="1">
      <c r="A433" s="1535"/>
      <c r="B433" s="2216" t="s">
        <v>55</v>
      </c>
      <c r="C433" s="2216"/>
      <c r="D433" s="2216"/>
      <c r="E433" s="2216"/>
      <c r="F433" s="1536">
        <f>F427+F432</f>
        <v>419.46999999999997</v>
      </c>
    </row>
    <row r="434" spans="1:8">
      <c r="A434" s="473"/>
      <c r="B434" s="2120" t="s">
        <v>99</v>
      </c>
      <c r="C434" s="2121"/>
      <c r="D434" s="2121"/>
      <c r="E434" s="2122"/>
      <c r="F434" s="474"/>
    </row>
    <row r="435" spans="1:8" ht="25.5">
      <c r="A435" s="160" t="s">
        <v>61</v>
      </c>
      <c r="B435" s="105" t="s">
        <v>100</v>
      </c>
      <c r="C435" s="298" t="s">
        <v>101</v>
      </c>
      <c r="D435" s="2098" t="s">
        <v>62</v>
      </c>
      <c r="E435" s="2098"/>
      <c r="F435" s="161" t="s">
        <v>102</v>
      </c>
    </row>
    <row r="436" spans="1:8" ht="25.5">
      <c r="A436" s="227">
        <v>44705</v>
      </c>
      <c r="B436" s="208" t="s">
        <v>2331</v>
      </c>
      <c r="C436" s="100">
        <v>246.06</v>
      </c>
      <c r="D436" s="2153" t="s">
        <v>2332</v>
      </c>
      <c r="E436" s="2154"/>
      <c r="F436" s="142" t="s">
        <v>2333</v>
      </c>
      <c r="H436" s="1524"/>
    </row>
    <row r="437" spans="1:8" ht="25.5">
      <c r="A437" s="227">
        <v>44707</v>
      </c>
      <c r="B437" s="208" t="s">
        <v>2317</v>
      </c>
      <c r="C437" s="100">
        <v>283.95</v>
      </c>
      <c r="D437" s="2153" t="s">
        <v>103</v>
      </c>
      <c r="E437" s="2154"/>
      <c r="F437" s="142" t="s">
        <v>2318</v>
      </c>
    </row>
    <row r="438" spans="1:8" ht="25.5">
      <c r="A438" s="227">
        <v>44707</v>
      </c>
      <c r="B438" s="208" t="s">
        <v>185</v>
      </c>
      <c r="C438" s="206">
        <v>310.7</v>
      </c>
      <c r="D438" s="2153" t="s">
        <v>2212</v>
      </c>
      <c r="E438" s="2154"/>
      <c r="F438" s="142" t="s">
        <v>2216</v>
      </c>
    </row>
    <row r="439" spans="1:8" ht="15.75" thickBot="1">
      <c r="A439" s="143"/>
      <c r="B439" s="316" t="s">
        <v>63</v>
      </c>
      <c r="C439" s="144">
        <f>MEDIAN(C436:C438)</f>
        <v>283.95</v>
      </c>
      <c r="D439" s="2103"/>
      <c r="E439" s="2104"/>
      <c r="F439" s="145"/>
    </row>
    <row r="440" spans="1:8" ht="15.75" thickBot="1">
      <c r="A440" s="303"/>
      <c r="B440" s="788"/>
      <c r="C440" s="747"/>
      <c r="D440" s="205"/>
      <c r="E440" s="205"/>
      <c r="F440" s="303"/>
    </row>
    <row r="441" spans="1:8" ht="30" customHeight="1">
      <c r="A441" s="424" t="s">
        <v>1698</v>
      </c>
      <c r="B441" s="806" t="s">
        <v>1708</v>
      </c>
      <c r="C441" s="152" t="s">
        <v>57</v>
      </c>
      <c r="D441" s="807"/>
      <c r="E441" s="807"/>
      <c r="F441" s="808"/>
    </row>
    <row r="442" spans="1:8">
      <c r="A442" s="2217" t="s">
        <v>1699</v>
      </c>
      <c r="B442" s="2218"/>
      <c r="C442" s="2218"/>
      <c r="D442" s="2218"/>
      <c r="E442" s="2218"/>
      <c r="F442" s="2219"/>
      <c r="H442" s="463" t="s">
        <v>489</v>
      </c>
    </row>
    <row r="443" spans="1:8" ht="30">
      <c r="A443" s="78"/>
      <c r="B443" s="79" t="s">
        <v>50</v>
      </c>
      <c r="C443" s="80" t="s">
        <v>51</v>
      </c>
      <c r="D443" s="81" t="s">
        <v>52</v>
      </c>
      <c r="E443" s="82" t="s">
        <v>53</v>
      </c>
      <c r="F443" s="83" t="s">
        <v>54</v>
      </c>
    </row>
    <row r="444" spans="1:8">
      <c r="A444" s="150">
        <v>88264</v>
      </c>
      <c r="B444" s="101" t="s">
        <v>97</v>
      </c>
      <c r="C444" s="97" t="s">
        <v>59</v>
      </c>
      <c r="D444" s="232">
        <v>0.5</v>
      </c>
      <c r="E444" s="228">
        <v>23.24</v>
      </c>
      <c r="F444" s="464">
        <f>TRUNC(D444*E444,2)</f>
        <v>11.62</v>
      </c>
    </row>
    <row r="445" spans="1:8" ht="25.5">
      <c r="A445" s="84">
        <v>88247</v>
      </c>
      <c r="B445" s="101" t="s">
        <v>96</v>
      </c>
      <c r="C445" s="97" t="s">
        <v>59</v>
      </c>
      <c r="D445" s="232">
        <v>0.3</v>
      </c>
      <c r="E445" s="1422">
        <v>19.2</v>
      </c>
      <c r="F445" s="464">
        <f>TRUNC(D445*E445,2)</f>
        <v>5.76</v>
      </c>
    </row>
    <row r="446" spans="1:8">
      <c r="A446" s="776"/>
      <c r="B446" s="222"/>
      <c r="C446" s="87"/>
      <c r="D446" s="88"/>
      <c r="E446" s="1534" t="s">
        <v>60</v>
      </c>
      <c r="F446" s="466">
        <f>SUM(F444:F445)</f>
        <v>17.38</v>
      </c>
    </row>
    <row r="447" spans="1:8" ht="30">
      <c r="A447" s="95"/>
      <c r="B447" s="1389" t="s">
        <v>98</v>
      </c>
      <c r="C447" s="92" t="s">
        <v>51</v>
      </c>
      <c r="D447" s="93" t="s">
        <v>52</v>
      </c>
      <c r="E447" s="105" t="s">
        <v>64</v>
      </c>
      <c r="F447" s="94" t="s">
        <v>54</v>
      </c>
    </row>
    <row r="448" spans="1:8">
      <c r="A448" s="358" t="s">
        <v>67</v>
      </c>
      <c r="B448" s="401" t="s">
        <v>1700</v>
      </c>
      <c r="C448" s="97" t="s">
        <v>57</v>
      </c>
      <c r="D448" s="465">
        <v>2</v>
      </c>
      <c r="E448" s="1422">
        <v>1.04</v>
      </c>
      <c r="F448" s="464">
        <f>TRUNC(D448*E448,2)</f>
        <v>2.08</v>
      </c>
    </row>
    <row r="449" spans="1:9" ht="25.5">
      <c r="A449" s="1310">
        <v>39391</v>
      </c>
      <c r="B449" s="208" t="s">
        <v>1713</v>
      </c>
      <c r="C449" s="97" t="s">
        <v>57</v>
      </c>
      <c r="D449" s="1899">
        <v>1</v>
      </c>
      <c r="E449" s="1422">
        <v>43.88</v>
      </c>
      <c r="F449" s="464">
        <f>TRUNC(D449*E449,2)</f>
        <v>43.88</v>
      </c>
    </row>
    <row r="450" spans="1:9">
      <c r="A450" s="639"/>
      <c r="B450" s="787"/>
      <c r="C450" s="87"/>
      <c r="D450" s="88"/>
      <c r="E450" s="299" t="s">
        <v>60</v>
      </c>
      <c r="F450" s="408">
        <f>SUM(F448:F449)</f>
        <v>45.96</v>
      </c>
    </row>
    <row r="451" spans="1:9" ht="15.75" thickBot="1">
      <c r="A451" s="1535"/>
      <c r="B451" s="2216" t="s">
        <v>55</v>
      </c>
      <c r="C451" s="2216"/>
      <c r="D451" s="2216"/>
      <c r="E451" s="2216"/>
      <c r="F451" s="1536">
        <f>F446+F450</f>
        <v>63.34</v>
      </c>
    </row>
    <row r="452" spans="1:9">
      <c r="A452" s="473"/>
      <c r="B452" s="2120" t="s">
        <v>99</v>
      </c>
      <c r="C452" s="2121"/>
      <c r="D452" s="2121"/>
      <c r="E452" s="2122"/>
      <c r="F452" s="474"/>
    </row>
    <row r="453" spans="1:9" ht="25.5">
      <c r="A453" s="160" t="s">
        <v>61</v>
      </c>
      <c r="B453" s="105" t="s">
        <v>100</v>
      </c>
      <c r="C453" s="298" t="s">
        <v>101</v>
      </c>
      <c r="D453" s="2098" t="s">
        <v>62</v>
      </c>
      <c r="E453" s="2098"/>
      <c r="F453" s="161" t="s">
        <v>102</v>
      </c>
    </row>
    <row r="454" spans="1:9" ht="25.5">
      <c r="A454" s="227">
        <v>44707</v>
      </c>
      <c r="B454" s="208" t="s">
        <v>2279</v>
      </c>
      <c r="C454" s="100">
        <v>1.43</v>
      </c>
      <c r="D454" s="2153" t="s">
        <v>2278</v>
      </c>
      <c r="E454" s="2154"/>
      <c r="F454" s="142" t="s">
        <v>2280</v>
      </c>
      <c r="I454" s="955" t="s">
        <v>2281</v>
      </c>
    </row>
    <row r="455" spans="1:9" ht="25.5">
      <c r="A455" s="227">
        <v>44707</v>
      </c>
      <c r="B455" s="208" t="s">
        <v>2317</v>
      </c>
      <c r="C455" s="100">
        <v>0.68</v>
      </c>
      <c r="D455" s="2153" t="s">
        <v>103</v>
      </c>
      <c r="E455" s="2154"/>
      <c r="F455" s="142" t="s">
        <v>2318</v>
      </c>
      <c r="I455" s="955" t="s">
        <v>2319</v>
      </c>
    </row>
    <row r="456" spans="1:9" ht="25.5">
      <c r="A456" s="227">
        <v>44705</v>
      </c>
      <c r="B456" s="208" t="s">
        <v>2331</v>
      </c>
      <c r="C456" s="100">
        <v>1.04</v>
      </c>
      <c r="D456" s="2153" t="s">
        <v>2332</v>
      </c>
      <c r="E456" s="2154"/>
      <c r="F456" s="142" t="s">
        <v>2333</v>
      </c>
      <c r="I456" s="955" t="s">
        <v>2334</v>
      </c>
    </row>
    <row r="457" spans="1:9" ht="15.75" thickBot="1">
      <c r="A457" s="143"/>
      <c r="B457" s="316" t="s">
        <v>63</v>
      </c>
      <c r="C457" s="144">
        <f>MEDIAN(C454:C456)</f>
        <v>1.04</v>
      </c>
      <c r="D457" s="2103"/>
      <c r="E457" s="2104"/>
      <c r="F457" s="145"/>
    </row>
    <row r="458" spans="1:9" ht="15.75" thickBot="1">
      <c r="A458" s="303"/>
      <c r="B458" s="788"/>
      <c r="C458" s="747"/>
      <c r="D458" s="205"/>
      <c r="E458" s="205"/>
      <c r="F458" s="303"/>
    </row>
    <row r="459" spans="1:9" ht="30.75" customHeight="1">
      <c r="A459" s="424" t="s">
        <v>1701</v>
      </c>
      <c r="B459" s="806" t="s">
        <v>1707</v>
      </c>
      <c r="C459" s="152" t="s">
        <v>57</v>
      </c>
      <c r="D459" s="807"/>
      <c r="E459" s="807"/>
      <c r="F459" s="808"/>
    </row>
    <row r="460" spans="1:9">
      <c r="A460" s="2217" t="s">
        <v>1699</v>
      </c>
      <c r="B460" s="2218"/>
      <c r="C460" s="2218"/>
      <c r="D460" s="2218"/>
      <c r="E460" s="2218"/>
      <c r="F460" s="2219"/>
      <c r="H460" s="463" t="s">
        <v>489</v>
      </c>
    </row>
    <row r="461" spans="1:9" ht="30">
      <c r="A461" s="78"/>
      <c r="B461" s="79" t="s">
        <v>50</v>
      </c>
      <c r="C461" s="80" t="s">
        <v>51</v>
      </c>
      <c r="D461" s="81" t="s">
        <v>52</v>
      </c>
      <c r="E461" s="82" t="s">
        <v>53</v>
      </c>
      <c r="F461" s="83" t="s">
        <v>54</v>
      </c>
    </row>
    <row r="462" spans="1:9">
      <c r="A462" s="150">
        <v>88264</v>
      </c>
      <c r="B462" s="101" t="s">
        <v>97</v>
      </c>
      <c r="C462" s="97" t="s">
        <v>59</v>
      </c>
      <c r="D462" s="232">
        <v>0.5</v>
      </c>
      <c r="E462" s="228">
        <v>23.24</v>
      </c>
      <c r="F462" s="464">
        <f>TRUNC(D462*E462,2)</f>
        <v>11.62</v>
      </c>
    </row>
    <row r="463" spans="1:9" ht="25.5">
      <c r="A463" s="84">
        <v>88247</v>
      </c>
      <c r="B463" s="101" t="s">
        <v>96</v>
      </c>
      <c r="C463" s="97" t="s">
        <v>59</v>
      </c>
      <c r="D463" s="232">
        <v>0.3</v>
      </c>
      <c r="E463" s="1422">
        <v>19.2</v>
      </c>
      <c r="F463" s="464">
        <f>TRUNC(D463*E463,2)</f>
        <v>5.76</v>
      </c>
    </row>
    <row r="464" spans="1:9">
      <c r="A464" s="776"/>
      <c r="B464" s="222"/>
      <c r="C464" s="87"/>
      <c r="D464" s="88"/>
      <c r="E464" s="1534" t="s">
        <v>60</v>
      </c>
      <c r="F464" s="466">
        <f>SUM(F462:F463)</f>
        <v>17.38</v>
      </c>
    </row>
    <row r="465" spans="1:9" ht="30">
      <c r="A465" s="95"/>
      <c r="B465" s="1389" t="s">
        <v>98</v>
      </c>
      <c r="C465" s="92" t="s">
        <v>51</v>
      </c>
      <c r="D465" s="93" t="s">
        <v>52</v>
      </c>
      <c r="E465" s="105" t="s">
        <v>64</v>
      </c>
      <c r="F465" s="94" t="s">
        <v>54</v>
      </c>
    </row>
    <row r="466" spans="1:9">
      <c r="A466" s="358" t="s">
        <v>67</v>
      </c>
      <c r="B466" s="401" t="s">
        <v>1700</v>
      </c>
      <c r="C466" s="97" t="s">
        <v>57</v>
      </c>
      <c r="D466" s="465">
        <v>2</v>
      </c>
      <c r="E466" s="1422">
        <v>1.04</v>
      </c>
      <c r="F466" s="464">
        <f>TRUNC(D466*E466,2)</f>
        <v>2.08</v>
      </c>
    </row>
    <row r="467" spans="1:9" ht="25.5">
      <c r="A467" s="1310">
        <v>39389</v>
      </c>
      <c r="B467" s="208" t="s">
        <v>1703</v>
      </c>
      <c r="C467" s="97" t="s">
        <v>57</v>
      </c>
      <c r="D467" s="1899">
        <v>1</v>
      </c>
      <c r="E467" s="1422">
        <v>18.649999999999999</v>
      </c>
      <c r="F467" s="464">
        <f>TRUNC(D467*E467,2)</f>
        <v>18.649999999999999</v>
      </c>
    </row>
    <row r="468" spans="1:9">
      <c r="A468" s="639"/>
      <c r="B468" s="787"/>
      <c r="C468" s="87"/>
      <c r="D468" s="88"/>
      <c r="E468" s="299" t="s">
        <v>60</v>
      </c>
      <c r="F468" s="408">
        <f>SUM(F466:F467)</f>
        <v>20.729999999999997</v>
      </c>
    </row>
    <row r="469" spans="1:9" ht="15.75" thickBot="1">
      <c r="A469" s="1535"/>
      <c r="B469" s="2216" t="s">
        <v>55</v>
      </c>
      <c r="C469" s="2216"/>
      <c r="D469" s="2216"/>
      <c r="E469" s="2216"/>
      <c r="F469" s="1536">
        <f>F464+F468</f>
        <v>38.11</v>
      </c>
    </row>
    <row r="470" spans="1:9" ht="15" customHeight="1">
      <c r="A470" s="473"/>
      <c r="B470" s="2120" t="s">
        <v>99</v>
      </c>
      <c r="C470" s="2121"/>
      <c r="D470" s="2121"/>
      <c r="E470" s="2122"/>
      <c r="F470" s="474"/>
    </row>
    <row r="471" spans="1:9" ht="25.5" customHeight="1">
      <c r="A471" s="160" t="s">
        <v>61</v>
      </c>
      <c r="B471" s="105" t="s">
        <v>100</v>
      </c>
      <c r="C471" s="298" t="s">
        <v>101</v>
      </c>
      <c r="D471" s="2098" t="s">
        <v>62</v>
      </c>
      <c r="E471" s="2098"/>
      <c r="F471" s="161" t="s">
        <v>102</v>
      </c>
    </row>
    <row r="472" spans="1:9" ht="23.25" customHeight="1" thickBot="1">
      <c r="A472" s="1379">
        <v>44707</v>
      </c>
      <c r="B472" s="1380" t="s">
        <v>2279</v>
      </c>
      <c r="C472" s="1900">
        <v>1.43</v>
      </c>
      <c r="D472" s="2110" t="s">
        <v>2278</v>
      </c>
      <c r="E472" s="2111"/>
      <c r="F472" s="1403" t="s">
        <v>2280</v>
      </c>
      <c r="I472" s="955" t="s">
        <v>2281</v>
      </c>
    </row>
    <row r="473" spans="1:9" ht="26.25" customHeight="1">
      <c r="A473" s="1423">
        <v>44707</v>
      </c>
      <c r="B473" s="1405" t="s">
        <v>2317</v>
      </c>
      <c r="C473" s="1901">
        <v>0.68</v>
      </c>
      <c r="D473" s="2112" t="s">
        <v>103</v>
      </c>
      <c r="E473" s="2113"/>
      <c r="F473" s="1902" t="s">
        <v>2318</v>
      </c>
      <c r="I473" s="955" t="s">
        <v>2319</v>
      </c>
    </row>
    <row r="474" spans="1:9" ht="27" customHeight="1">
      <c r="A474" s="227">
        <v>44705</v>
      </c>
      <c r="B474" s="208" t="s">
        <v>2331</v>
      </c>
      <c r="C474" s="100">
        <v>1.04</v>
      </c>
      <c r="D474" s="2153" t="s">
        <v>2332</v>
      </c>
      <c r="E474" s="2154"/>
      <c r="F474" s="142" t="s">
        <v>2333</v>
      </c>
      <c r="I474" s="955" t="s">
        <v>2334</v>
      </c>
    </row>
    <row r="475" spans="1:9" ht="15" customHeight="1" thickBot="1">
      <c r="A475" s="143"/>
      <c r="B475" s="316" t="s">
        <v>63</v>
      </c>
      <c r="C475" s="144">
        <f>MEDIAN(C472:C474)</f>
        <v>1.04</v>
      </c>
      <c r="D475" s="2103"/>
      <c r="E475" s="2104"/>
      <c r="F475" s="145"/>
    </row>
    <row r="476" spans="1:9" ht="15" customHeight="1" thickBot="1">
      <c r="A476" s="548"/>
      <c r="B476" s="786"/>
      <c r="C476" s="802"/>
      <c r="D476" s="803"/>
      <c r="E476" s="804"/>
      <c r="F476" s="805"/>
    </row>
    <row r="477" spans="1:9" ht="25.5">
      <c r="A477" s="424" t="s">
        <v>1702</v>
      </c>
      <c r="B477" s="806" t="s">
        <v>1714</v>
      </c>
      <c r="C477" s="152" t="s">
        <v>57</v>
      </c>
      <c r="D477" s="807"/>
      <c r="E477" s="807"/>
      <c r="F477" s="808"/>
    </row>
    <row r="478" spans="1:9">
      <c r="A478" s="2217" t="s">
        <v>1715</v>
      </c>
      <c r="B478" s="2218"/>
      <c r="C478" s="2218"/>
      <c r="D478" s="2218"/>
      <c r="E478" s="2218"/>
      <c r="F478" s="2219"/>
      <c r="H478" s="463" t="s">
        <v>489</v>
      </c>
    </row>
    <row r="479" spans="1:9" ht="30">
      <c r="A479" s="78"/>
      <c r="B479" s="79" t="s">
        <v>50</v>
      </c>
      <c r="C479" s="80" t="s">
        <v>51</v>
      </c>
      <c r="D479" s="81" t="s">
        <v>52</v>
      </c>
      <c r="E479" s="82" t="s">
        <v>53</v>
      </c>
      <c r="F479" s="83" t="s">
        <v>54</v>
      </c>
    </row>
    <row r="480" spans="1:9">
      <c r="A480" s="150">
        <v>88264</v>
      </c>
      <c r="B480" s="101" t="s">
        <v>97</v>
      </c>
      <c r="C480" s="97" t="s">
        <v>59</v>
      </c>
      <c r="D480" s="232">
        <v>0.5</v>
      </c>
      <c r="E480" s="228">
        <v>23.24</v>
      </c>
      <c r="F480" s="464">
        <f>TRUNC(D480*E480,2)</f>
        <v>11.62</v>
      </c>
    </row>
    <row r="481" spans="1:6" ht="25.5">
      <c r="A481" s="84">
        <v>88247</v>
      </c>
      <c r="B481" s="101" t="s">
        <v>96</v>
      </c>
      <c r="C481" s="97" t="s">
        <v>59</v>
      </c>
      <c r="D481" s="232">
        <v>0.3</v>
      </c>
      <c r="E481" s="1422">
        <v>19.2</v>
      </c>
      <c r="F481" s="464">
        <f>TRUNC(D481*E481,2)</f>
        <v>5.76</v>
      </c>
    </row>
    <row r="482" spans="1:6">
      <c r="A482" s="776"/>
      <c r="B482" s="222"/>
      <c r="C482" s="87"/>
      <c r="D482" s="88"/>
      <c r="E482" s="1534" t="s">
        <v>60</v>
      </c>
      <c r="F482" s="466">
        <f>SUM(F480:F481)</f>
        <v>17.38</v>
      </c>
    </row>
    <row r="483" spans="1:6" ht="30">
      <c r="A483" s="95"/>
      <c r="B483" s="1389" t="s">
        <v>98</v>
      </c>
      <c r="C483" s="92" t="s">
        <v>51</v>
      </c>
      <c r="D483" s="93" t="s">
        <v>52</v>
      </c>
      <c r="E483" s="105" t="s">
        <v>64</v>
      </c>
      <c r="F483" s="94" t="s">
        <v>54</v>
      </c>
    </row>
    <row r="484" spans="1:6" ht="25.5">
      <c r="A484" s="1312">
        <v>21127</v>
      </c>
      <c r="B484" s="208" t="s">
        <v>1709</v>
      </c>
      <c r="C484" s="97" t="s">
        <v>57</v>
      </c>
      <c r="D484" s="1899">
        <v>2.1000000000000001E-2</v>
      </c>
      <c r="E484" s="1422">
        <v>3.78</v>
      </c>
      <c r="F484" s="464">
        <f>TRUNC(D484*E484,2)</f>
        <v>7.0000000000000007E-2</v>
      </c>
    </row>
    <row r="485" spans="1:6">
      <c r="A485" s="1310">
        <v>39380</v>
      </c>
      <c r="B485" s="208" t="s">
        <v>1710</v>
      </c>
      <c r="C485" s="97" t="s">
        <v>57</v>
      </c>
      <c r="D485" s="1899">
        <v>1</v>
      </c>
      <c r="E485" s="1422">
        <v>29.98</v>
      </c>
      <c r="F485" s="464">
        <f t="shared" ref="F485:F486" si="2">TRUNC(D485*E485,2)</f>
        <v>29.98</v>
      </c>
    </row>
    <row r="486" spans="1:6" ht="25.5">
      <c r="A486" s="1310" t="s">
        <v>67</v>
      </c>
      <c r="B486" s="208" t="s">
        <v>1704</v>
      </c>
      <c r="C486" s="97" t="s">
        <v>57</v>
      </c>
      <c r="D486" s="1899">
        <v>1</v>
      </c>
      <c r="E486" s="1422">
        <v>33.96</v>
      </c>
      <c r="F486" s="464">
        <f t="shared" si="2"/>
        <v>33.96</v>
      </c>
    </row>
    <row r="487" spans="1:6">
      <c r="A487" s="639"/>
      <c r="B487" s="787"/>
      <c r="C487" s="87"/>
      <c r="D487" s="88"/>
      <c r="E487" s="299" t="s">
        <v>60</v>
      </c>
      <c r="F487" s="408">
        <f>SUM(F484:F486)</f>
        <v>64.010000000000005</v>
      </c>
    </row>
    <row r="488" spans="1:6" ht="15.75" thickBot="1">
      <c r="A488" s="1535"/>
      <c r="B488" s="2216" t="s">
        <v>55</v>
      </c>
      <c r="C488" s="2216"/>
      <c r="D488" s="2216"/>
      <c r="E488" s="2216"/>
      <c r="F488" s="1536">
        <f>F482+F487</f>
        <v>81.39</v>
      </c>
    </row>
    <row r="489" spans="1:6">
      <c r="A489" s="473"/>
      <c r="B489" s="2120" t="s">
        <v>99</v>
      </c>
      <c r="C489" s="2121"/>
      <c r="D489" s="2121"/>
      <c r="E489" s="2122"/>
      <c r="F489" s="474"/>
    </row>
    <row r="490" spans="1:6" ht="25.5">
      <c r="A490" s="160" t="s">
        <v>61</v>
      </c>
      <c r="B490" s="105" t="s">
        <v>100</v>
      </c>
      <c r="C490" s="298" t="s">
        <v>101</v>
      </c>
      <c r="D490" s="2098" t="s">
        <v>62</v>
      </c>
      <c r="E490" s="2098"/>
      <c r="F490" s="161" t="s">
        <v>102</v>
      </c>
    </row>
    <row r="491" spans="1:6" ht="25.5">
      <c r="A491" s="227">
        <v>44707</v>
      </c>
      <c r="B491" s="208" t="s">
        <v>2279</v>
      </c>
      <c r="C491" s="100">
        <v>28.48</v>
      </c>
      <c r="D491" s="2153" t="s">
        <v>2278</v>
      </c>
      <c r="E491" s="2154"/>
      <c r="F491" s="142" t="s">
        <v>2280</v>
      </c>
    </row>
    <row r="492" spans="1:6" ht="25.5">
      <c r="A492" s="227">
        <v>44707</v>
      </c>
      <c r="B492" s="208" t="s">
        <v>2317</v>
      </c>
      <c r="C492" s="100">
        <v>33.96</v>
      </c>
      <c r="D492" s="2153" t="s">
        <v>103</v>
      </c>
      <c r="E492" s="2154"/>
      <c r="F492" s="142" t="s">
        <v>2318</v>
      </c>
    </row>
    <row r="493" spans="1:6" ht="25.5">
      <c r="A493" s="227">
        <v>44705</v>
      </c>
      <c r="B493" s="208" t="s">
        <v>2331</v>
      </c>
      <c r="C493" s="100">
        <v>58.44</v>
      </c>
      <c r="D493" s="2153" t="s">
        <v>2332</v>
      </c>
      <c r="E493" s="2154"/>
      <c r="F493" s="142" t="s">
        <v>2333</v>
      </c>
    </row>
    <row r="494" spans="1:6" ht="15.75" thickBot="1">
      <c r="A494" s="143"/>
      <c r="B494" s="316" t="s">
        <v>63</v>
      </c>
      <c r="C494" s="144">
        <f>MEDIAN(C491:C493)</f>
        <v>33.96</v>
      </c>
      <c r="D494" s="2103"/>
      <c r="E494" s="2104"/>
      <c r="F494" s="145"/>
    </row>
    <row r="495" spans="1:6" ht="15.75" thickBot="1">
      <c r="A495" s="303"/>
      <c r="B495" s="788"/>
      <c r="C495" s="747"/>
      <c r="D495" s="205"/>
      <c r="E495" s="205"/>
      <c r="F495" s="303"/>
    </row>
    <row r="496" spans="1:6">
      <c r="A496" s="424" t="s">
        <v>1706</v>
      </c>
      <c r="B496" s="806" t="s">
        <v>1711</v>
      </c>
      <c r="C496" s="152" t="s">
        <v>57</v>
      </c>
      <c r="D496" s="807"/>
      <c r="E496" s="807"/>
      <c r="F496" s="808"/>
    </row>
    <row r="497" spans="1:8">
      <c r="A497" s="2217" t="s">
        <v>1716</v>
      </c>
      <c r="B497" s="2218"/>
      <c r="C497" s="2218"/>
      <c r="D497" s="2218"/>
      <c r="E497" s="2218"/>
      <c r="F497" s="2219"/>
      <c r="H497" s="463" t="s">
        <v>489</v>
      </c>
    </row>
    <row r="498" spans="1:8" ht="30">
      <c r="A498" s="78"/>
      <c r="B498" s="79" t="s">
        <v>50</v>
      </c>
      <c r="C498" s="80" t="s">
        <v>51</v>
      </c>
      <c r="D498" s="81" t="s">
        <v>52</v>
      </c>
      <c r="E498" s="82" t="s">
        <v>53</v>
      </c>
      <c r="F498" s="83" t="s">
        <v>54</v>
      </c>
    </row>
    <row r="499" spans="1:8">
      <c r="A499" s="150">
        <v>88264</v>
      </c>
      <c r="B499" s="101" t="s">
        <v>97</v>
      </c>
      <c r="C499" s="97" t="s">
        <v>59</v>
      </c>
      <c r="D499" s="232">
        <v>0.03</v>
      </c>
      <c r="E499" s="228">
        <v>23.24</v>
      </c>
      <c r="F499" s="464">
        <f>TRUNC(D499*E499,2)</f>
        <v>0.69</v>
      </c>
    </row>
    <row r="500" spans="1:8" ht="25.5">
      <c r="A500" s="84">
        <v>88247</v>
      </c>
      <c r="B500" s="101" t="s">
        <v>96</v>
      </c>
      <c r="C500" s="97" t="s">
        <v>59</v>
      </c>
      <c r="D500" s="232">
        <v>0.03</v>
      </c>
      <c r="E500" s="1422">
        <v>19.2</v>
      </c>
      <c r="F500" s="464">
        <f>TRUNC(D500*E500,2)</f>
        <v>0.56999999999999995</v>
      </c>
    </row>
    <row r="501" spans="1:8">
      <c r="A501" s="776"/>
      <c r="B501" s="222"/>
      <c r="C501" s="87"/>
      <c r="D501" s="88"/>
      <c r="E501" s="1534" t="s">
        <v>60</v>
      </c>
      <c r="F501" s="466">
        <f>SUM(F499:F500)</f>
        <v>1.2599999999999998</v>
      </c>
    </row>
    <row r="502" spans="1:8" ht="30">
      <c r="A502" s="95"/>
      <c r="B502" s="1389" t="s">
        <v>98</v>
      </c>
      <c r="C502" s="92" t="s">
        <v>51</v>
      </c>
      <c r="D502" s="93" t="s">
        <v>52</v>
      </c>
      <c r="E502" s="105" t="s">
        <v>64</v>
      </c>
      <c r="F502" s="94" t="s">
        <v>54</v>
      </c>
    </row>
    <row r="503" spans="1:8">
      <c r="A503" s="391">
        <v>7543</v>
      </c>
      <c r="B503" s="401" t="s">
        <v>1712</v>
      </c>
      <c r="C503" s="97" t="s">
        <v>57</v>
      </c>
      <c r="D503" s="465">
        <v>1</v>
      </c>
      <c r="E503" s="1422">
        <v>4.9800000000000004</v>
      </c>
      <c r="F503" s="464">
        <f>TRUNC(D503*E503,2)</f>
        <v>4.9800000000000004</v>
      </c>
    </row>
    <row r="504" spans="1:8">
      <c r="A504" s="639"/>
      <c r="B504" s="787"/>
      <c r="C504" s="87"/>
      <c r="D504" s="88"/>
      <c r="E504" s="299" t="s">
        <v>60</v>
      </c>
      <c r="F504" s="408">
        <f>SUM(F503:F503)</f>
        <v>4.9800000000000004</v>
      </c>
    </row>
    <row r="505" spans="1:8" ht="15.75" thickBot="1">
      <c r="A505" s="1535"/>
      <c r="B505" s="2216" t="s">
        <v>55</v>
      </c>
      <c r="C505" s="2216"/>
      <c r="D505" s="2216"/>
      <c r="E505" s="2216"/>
      <c r="F505" s="1536">
        <f>F501+F504</f>
        <v>6.24</v>
      </c>
    </row>
    <row r="506" spans="1:8" ht="16.5" customHeight="1" thickBot="1">
      <c r="A506" s="548"/>
      <c r="B506" s="786"/>
      <c r="C506" s="802"/>
      <c r="D506" s="803"/>
      <c r="E506" s="804"/>
      <c r="F506" s="805"/>
    </row>
    <row r="507" spans="1:8">
      <c r="A507" s="424" t="s">
        <v>2373</v>
      </c>
      <c r="B507" s="806" t="s">
        <v>2374</v>
      </c>
      <c r="C507" s="152" t="s">
        <v>57</v>
      </c>
      <c r="D507" s="807"/>
      <c r="E507" s="807"/>
      <c r="F507" s="808"/>
      <c r="H507" s="463" t="s">
        <v>489</v>
      </c>
    </row>
    <row r="508" spans="1:8" ht="15" customHeight="1">
      <c r="A508" s="2217" t="s">
        <v>1716</v>
      </c>
      <c r="B508" s="2218"/>
      <c r="C508" s="2218"/>
      <c r="D508" s="2218"/>
      <c r="E508" s="2218"/>
      <c r="F508" s="2219"/>
    </row>
    <row r="509" spans="1:8" ht="30">
      <c r="A509" s="78"/>
      <c r="B509" s="79" t="s">
        <v>50</v>
      </c>
      <c r="C509" s="80" t="s">
        <v>51</v>
      </c>
      <c r="D509" s="81" t="s">
        <v>52</v>
      </c>
      <c r="E509" s="82" t="s">
        <v>53</v>
      </c>
      <c r="F509" s="83" t="s">
        <v>54</v>
      </c>
    </row>
    <row r="510" spans="1:8">
      <c r="A510" s="150">
        <v>88264</v>
      </c>
      <c r="B510" s="101" t="s">
        <v>97</v>
      </c>
      <c r="C510" s="97" t="s">
        <v>59</v>
      </c>
      <c r="D510" s="231">
        <v>0.3523</v>
      </c>
      <c r="E510" s="228">
        <v>23.24</v>
      </c>
      <c r="F510" s="464">
        <f>TRUNC(D510*E510,2)</f>
        <v>8.18</v>
      </c>
    </row>
    <row r="511" spans="1:8" ht="25.5">
      <c r="A511" s="84">
        <v>88247</v>
      </c>
      <c r="B511" s="101" t="s">
        <v>96</v>
      </c>
      <c r="C511" s="97" t="s">
        <v>59</v>
      </c>
      <c r="D511" s="231">
        <v>0.3523</v>
      </c>
      <c r="E511" s="1422">
        <v>19.2</v>
      </c>
      <c r="F511" s="464">
        <f>TRUNC(D511*E511,2)</f>
        <v>6.76</v>
      </c>
    </row>
    <row r="512" spans="1:8">
      <c r="A512" s="776"/>
      <c r="B512" s="222"/>
      <c r="C512" s="87"/>
      <c r="D512" s="88"/>
      <c r="E512" s="1534" t="s">
        <v>60</v>
      </c>
      <c r="F512" s="466">
        <f>SUM(F510:F511)</f>
        <v>14.94</v>
      </c>
    </row>
    <row r="513" spans="1:8" ht="30">
      <c r="A513" s="95"/>
      <c r="B513" s="1389" t="s">
        <v>98</v>
      </c>
      <c r="C513" s="92" t="s">
        <v>51</v>
      </c>
      <c r="D513" s="93" t="s">
        <v>52</v>
      </c>
      <c r="E513" s="105" t="s">
        <v>64</v>
      </c>
      <c r="F513" s="94" t="s">
        <v>54</v>
      </c>
    </row>
    <row r="514" spans="1:8">
      <c r="A514" s="391">
        <v>39331</v>
      </c>
      <c r="B514" s="208" t="s">
        <v>2383</v>
      </c>
      <c r="C514" s="97" t="s">
        <v>57</v>
      </c>
      <c r="D514" s="465">
        <v>1</v>
      </c>
      <c r="E514" s="1422">
        <v>9.1</v>
      </c>
      <c r="F514" s="464">
        <f>TRUNC(D514*E514,2)</f>
        <v>9.1</v>
      </c>
    </row>
    <row r="515" spans="1:8" ht="38.25">
      <c r="A515" s="391">
        <v>11950</v>
      </c>
      <c r="B515" s="208" t="s">
        <v>2384</v>
      </c>
      <c r="C515" s="97" t="s">
        <v>57</v>
      </c>
      <c r="D515" s="465">
        <v>2</v>
      </c>
      <c r="E515" s="1422">
        <v>0.2</v>
      </c>
      <c r="F515" s="464">
        <f>TRUNC(D515*E515,2)</f>
        <v>0.4</v>
      </c>
    </row>
    <row r="516" spans="1:8">
      <c r="A516" s="639"/>
      <c r="B516" s="787"/>
      <c r="C516" s="87"/>
      <c r="D516" s="88"/>
      <c r="E516" s="299" t="s">
        <v>60</v>
      </c>
      <c r="F516" s="408">
        <f>SUM(F514:F515)</f>
        <v>9.5</v>
      </c>
    </row>
    <row r="517" spans="1:8" ht="15.75" thickBot="1">
      <c r="A517" s="1535"/>
      <c r="B517" s="2216" t="s">
        <v>55</v>
      </c>
      <c r="C517" s="2216"/>
      <c r="D517" s="2216"/>
      <c r="E517" s="2216"/>
      <c r="F517" s="1536">
        <f>F512+F516</f>
        <v>24.439999999999998</v>
      </c>
    </row>
    <row r="518" spans="1:8" ht="15.75" thickBot="1">
      <c r="A518" s="303"/>
      <c r="B518" s="1530"/>
      <c r="C518" s="747"/>
      <c r="D518" s="205"/>
      <c r="E518" s="205"/>
      <c r="F518" s="303"/>
    </row>
    <row r="519" spans="1:8">
      <c r="A519" s="424" t="s">
        <v>2375</v>
      </c>
      <c r="B519" s="806" t="s">
        <v>2376</v>
      </c>
      <c r="C519" s="152" t="s">
        <v>57</v>
      </c>
      <c r="D519" s="807"/>
      <c r="E519" s="807"/>
      <c r="F519" s="808"/>
      <c r="H519" s="463" t="s">
        <v>489</v>
      </c>
    </row>
    <row r="520" spans="1:8" ht="15" customHeight="1">
      <c r="A520" s="2217" t="s">
        <v>1716</v>
      </c>
      <c r="B520" s="2218"/>
      <c r="C520" s="2218"/>
      <c r="D520" s="2218"/>
      <c r="E520" s="2218"/>
      <c r="F520" s="2219"/>
    </row>
    <row r="521" spans="1:8" ht="30">
      <c r="A521" s="78"/>
      <c r="B521" s="79" t="s">
        <v>50</v>
      </c>
      <c r="C521" s="80" t="s">
        <v>51</v>
      </c>
      <c r="D521" s="81" t="s">
        <v>52</v>
      </c>
      <c r="E521" s="82" t="s">
        <v>53</v>
      </c>
      <c r="F521" s="83" t="s">
        <v>54</v>
      </c>
    </row>
    <row r="522" spans="1:8">
      <c r="A522" s="150">
        <v>88264</v>
      </c>
      <c r="B522" s="101" t="s">
        <v>97</v>
      </c>
      <c r="C522" s="97" t="s">
        <v>59</v>
      </c>
      <c r="D522" s="231">
        <v>0.3523</v>
      </c>
      <c r="E522" s="228">
        <v>23.24</v>
      </c>
      <c r="F522" s="464">
        <f>TRUNC(D522*E522,2)</f>
        <v>8.18</v>
      </c>
    </row>
    <row r="523" spans="1:8" ht="25.5">
      <c r="A523" s="84">
        <v>88247</v>
      </c>
      <c r="B523" s="101" t="s">
        <v>96</v>
      </c>
      <c r="C523" s="97" t="s">
        <v>59</v>
      </c>
      <c r="D523" s="231">
        <v>0.3523</v>
      </c>
      <c r="E523" s="1422">
        <v>19.2</v>
      </c>
      <c r="F523" s="464">
        <f>TRUNC(D523*E523,2)</f>
        <v>6.76</v>
      </c>
    </row>
    <row r="524" spans="1:8" ht="15.75" thickBot="1">
      <c r="A524" s="1893"/>
      <c r="B524" s="1894"/>
      <c r="C524" s="1895"/>
      <c r="D524" s="1896"/>
      <c r="E524" s="1433" t="s">
        <v>60</v>
      </c>
      <c r="F524" s="1828">
        <f>SUM(F522:F523)</f>
        <v>14.94</v>
      </c>
    </row>
    <row r="525" spans="1:8" ht="30">
      <c r="A525" s="1897"/>
      <c r="B525" s="1898" t="s">
        <v>98</v>
      </c>
      <c r="C525" s="1470" t="s">
        <v>51</v>
      </c>
      <c r="D525" s="1471" t="s">
        <v>52</v>
      </c>
      <c r="E525" s="1472" t="s">
        <v>64</v>
      </c>
      <c r="F525" s="1491" t="s">
        <v>54</v>
      </c>
    </row>
    <row r="526" spans="1:8">
      <c r="A526" s="391">
        <v>39337</v>
      </c>
      <c r="B526" s="755" t="s">
        <v>2385</v>
      </c>
      <c r="C526" s="97" t="s">
        <v>57</v>
      </c>
      <c r="D526" s="465">
        <v>1</v>
      </c>
      <c r="E526" s="1422">
        <v>9.1</v>
      </c>
      <c r="F526" s="464">
        <f>TRUNC(D526*E526,2)</f>
        <v>9.1</v>
      </c>
    </row>
    <row r="527" spans="1:8" ht="38.25">
      <c r="A527" s="391">
        <v>11950</v>
      </c>
      <c r="B527" s="208" t="s">
        <v>2384</v>
      </c>
      <c r="C527" s="97" t="s">
        <v>57</v>
      </c>
      <c r="D527" s="465">
        <v>2</v>
      </c>
      <c r="E527" s="1422">
        <v>0.2</v>
      </c>
      <c r="F527" s="464">
        <f>TRUNC(D527*E527,2)</f>
        <v>0.4</v>
      </c>
    </row>
    <row r="528" spans="1:8">
      <c r="A528" s="639"/>
      <c r="B528" s="787"/>
      <c r="C528" s="87"/>
      <c r="D528" s="88"/>
      <c r="E528" s="299" t="s">
        <v>60</v>
      </c>
      <c r="F528" s="408">
        <f>SUM(F526:F527)</f>
        <v>9.5</v>
      </c>
    </row>
    <row r="529" spans="1:8" ht="15.75" thickBot="1">
      <c r="A529" s="1535"/>
      <c r="B529" s="2216" t="s">
        <v>55</v>
      </c>
      <c r="C529" s="2216"/>
      <c r="D529" s="2216"/>
      <c r="E529" s="2216"/>
      <c r="F529" s="1536">
        <f>F524+F528</f>
        <v>24.439999999999998</v>
      </c>
    </row>
    <row r="530" spans="1:8" ht="15.75" thickBot="1">
      <c r="A530" s="303"/>
      <c r="B530" s="1530"/>
      <c r="C530" s="747"/>
      <c r="D530" s="205"/>
      <c r="E530" s="205"/>
      <c r="F530" s="303"/>
    </row>
    <row r="531" spans="1:8">
      <c r="A531" s="424" t="s">
        <v>2377</v>
      </c>
      <c r="B531" s="806" t="s">
        <v>2378</v>
      </c>
      <c r="C531" s="152" t="s">
        <v>57</v>
      </c>
      <c r="D531" s="807"/>
      <c r="E531" s="807"/>
      <c r="F531" s="808"/>
      <c r="H531" s="463" t="s">
        <v>489</v>
      </c>
    </row>
    <row r="532" spans="1:8" ht="15" customHeight="1">
      <c r="A532" s="2217" t="s">
        <v>1716</v>
      </c>
      <c r="B532" s="2218"/>
      <c r="C532" s="2218"/>
      <c r="D532" s="2218"/>
      <c r="E532" s="2218"/>
      <c r="F532" s="2219"/>
    </row>
    <row r="533" spans="1:8" ht="30">
      <c r="A533" s="78"/>
      <c r="B533" s="79" t="s">
        <v>50</v>
      </c>
      <c r="C533" s="80" t="s">
        <v>51</v>
      </c>
      <c r="D533" s="81" t="s">
        <v>52</v>
      </c>
      <c r="E533" s="82" t="s">
        <v>53</v>
      </c>
      <c r="F533" s="83" t="s">
        <v>54</v>
      </c>
    </row>
    <row r="534" spans="1:8">
      <c r="A534" s="150">
        <v>88264</v>
      </c>
      <c r="B534" s="101" t="s">
        <v>97</v>
      </c>
      <c r="C534" s="97" t="s">
        <v>59</v>
      </c>
      <c r="D534" s="231">
        <v>0.3523</v>
      </c>
      <c r="E534" s="228">
        <v>23.24</v>
      </c>
      <c r="F534" s="464">
        <f>TRUNC(D534*E534,2)</f>
        <v>8.18</v>
      </c>
    </row>
    <row r="535" spans="1:8" ht="25.5">
      <c r="A535" s="84">
        <v>88247</v>
      </c>
      <c r="B535" s="101" t="s">
        <v>96</v>
      </c>
      <c r="C535" s="97" t="s">
        <v>59</v>
      </c>
      <c r="D535" s="231">
        <v>0.3523</v>
      </c>
      <c r="E535" s="1422">
        <v>19.2</v>
      </c>
      <c r="F535" s="464">
        <f>TRUNC(D535*E535,2)</f>
        <v>6.76</v>
      </c>
    </row>
    <row r="536" spans="1:8">
      <c r="A536" s="776"/>
      <c r="B536" s="222"/>
      <c r="C536" s="87"/>
      <c r="D536" s="88"/>
      <c r="E536" s="1534" t="s">
        <v>60</v>
      </c>
      <c r="F536" s="466">
        <f>SUM(F534:F535)</f>
        <v>14.94</v>
      </c>
    </row>
    <row r="537" spans="1:8" ht="30">
      <c r="A537" s="95"/>
      <c r="B537" s="1389" t="s">
        <v>98</v>
      </c>
      <c r="C537" s="92" t="s">
        <v>51</v>
      </c>
      <c r="D537" s="93" t="s">
        <v>52</v>
      </c>
      <c r="E537" s="105" t="s">
        <v>64</v>
      </c>
      <c r="F537" s="94" t="s">
        <v>54</v>
      </c>
    </row>
    <row r="538" spans="1:8">
      <c r="A538" s="391">
        <v>39337</v>
      </c>
      <c r="B538" s="208" t="s">
        <v>2385</v>
      </c>
      <c r="C538" s="97" t="s">
        <v>57</v>
      </c>
      <c r="D538" s="465">
        <v>1</v>
      </c>
      <c r="E538" s="1422">
        <v>9.17</v>
      </c>
      <c r="F538" s="464">
        <f>TRUNC(D538*E538,2)</f>
        <v>9.17</v>
      </c>
    </row>
    <row r="539" spans="1:8" ht="38.25">
      <c r="A539" s="391">
        <v>11950</v>
      </c>
      <c r="B539" s="208" t="s">
        <v>2384</v>
      </c>
      <c r="C539" s="97" t="s">
        <v>57</v>
      </c>
      <c r="D539" s="465">
        <v>2</v>
      </c>
      <c r="E539" s="1422">
        <v>0.2</v>
      </c>
      <c r="F539" s="464">
        <f>TRUNC(D539*E539,2)</f>
        <v>0.4</v>
      </c>
    </row>
    <row r="540" spans="1:8">
      <c r="A540" s="639"/>
      <c r="B540" s="787"/>
      <c r="C540" s="87"/>
      <c r="D540" s="88"/>
      <c r="E540" s="299" t="s">
        <v>60</v>
      </c>
      <c r="F540" s="408">
        <f>SUM(F538:F539)</f>
        <v>9.57</v>
      </c>
    </row>
    <row r="541" spans="1:8" ht="15.75" thickBot="1">
      <c r="A541" s="1535"/>
      <c r="B541" s="2216" t="s">
        <v>55</v>
      </c>
      <c r="C541" s="2216"/>
      <c r="D541" s="2216"/>
      <c r="E541" s="2216"/>
      <c r="F541" s="1536">
        <f>F536+F540</f>
        <v>24.509999999999998</v>
      </c>
    </row>
    <row r="542" spans="1:8" ht="15.75" thickBot="1">
      <c r="A542" s="515"/>
      <c r="B542" s="774"/>
      <c r="C542" s="774"/>
      <c r="D542" s="774"/>
      <c r="E542" s="774"/>
      <c r="F542" s="775"/>
    </row>
    <row r="543" spans="1:8">
      <c r="A543" s="424" t="s">
        <v>2379</v>
      </c>
      <c r="B543" s="806" t="s">
        <v>2380</v>
      </c>
      <c r="C543" s="152" t="s">
        <v>57</v>
      </c>
      <c r="D543" s="807"/>
      <c r="E543" s="807"/>
      <c r="F543" s="808"/>
      <c r="H543" s="463" t="s">
        <v>489</v>
      </c>
    </row>
    <row r="544" spans="1:8" ht="15" customHeight="1">
      <c r="A544" s="2217" t="s">
        <v>1716</v>
      </c>
      <c r="B544" s="2218"/>
      <c r="C544" s="2218"/>
      <c r="D544" s="2218"/>
      <c r="E544" s="2218"/>
      <c r="F544" s="2219"/>
    </row>
    <row r="545" spans="1:8" ht="30">
      <c r="A545" s="78"/>
      <c r="B545" s="79" t="s">
        <v>50</v>
      </c>
      <c r="C545" s="80" t="s">
        <v>51</v>
      </c>
      <c r="D545" s="81" t="s">
        <v>52</v>
      </c>
      <c r="E545" s="82" t="s">
        <v>53</v>
      </c>
      <c r="F545" s="83" t="s">
        <v>54</v>
      </c>
    </row>
    <row r="546" spans="1:8">
      <c r="A546" s="150">
        <v>88264</v>
      </c>
      <c r="B546" s="101" t="s">
        <v>97</v>
      </c>
      <c r="C546" s="97" t="s">
        <v>59</v>
      </c>
      <c r="D546" s="231">
        <v>0.3523</v>
      </c>
      <c r="E546" s="228">
        <v>23.24</v>
      </c>
      <c r="F546" s="464">
        <f>TRUNC(D546*E546,2)</f>
        <v>8.18</v>
      </c>
    </row>
    <row r="547" spans="1:8" ht="25.5">
      <c r="A547" s="84">
        <v>88247</v>
      </c>
      <c r="B547" s="101" t="s">
        <v>96</v>
      </c>
      <c r="C547" s="97" t="s">
        <v>59</v>
      </c>
      <c r="D547" s="231">
        <v>0.3523</v>
      </c>
      <c r="E547" s="1422">
        <v>19.2</v>
      </c>
      <c r="F547" s="464">
        <f>TRUNC(D547*E547,2)</f>
        <v>6.76</v>
      </c>
    </row>
    <row r="548" spans="1:8">
      <c r="A548" s="776"/>
      <c r="B548" s="222"/>
      <c r="C548" s="87"/>
      <c r="D548" s="88"/>
      <c r="E548" s="1534" t="s">
        <v>60</v>
      </c>
      <c r="F548" s="466">
        <f>SUM(F546:F547)</f>
        <v>14.94</v>
      </c>
    </row>
    <row r="549" spans="1:8" ht="30">
      <c r="A549" s="95"/>
      <c r="B549" s="1389" t="s">
        <v>98</v>
      </c>
      <c r="C549" s="92" t="s">
        <v>51</v>
      </c>
      <c r="D549" s="93" t="s">
        <v>52</v>
      </c>
      <c r="E549" s="105" t="s">
        <v>64</v>
      </c>
      <c r="F549" s="94" t="s">
        <v>54</v>
      </c>
    </row>
    <row r="550" spans="1:8">
      <c r="A550" s="391">
        <v>39338</v>
      </c>
      <c r="B550" s="208" t="s">
        <v>2386</v>
      </c>
      <c r="C550" s="97" t="s">
        <v>57</v>
      </c>
      <c r="D550" s="465">
        <v>1</v>
      </c>
      <c r="E550" s="1422">
        <v>11.43</v>
      </c>
      <c r="F550" s="464">
        <f>TRUNC(D550*E550,2)</f>
        <v>11.43</v>
      </c>
    </row>
    <row r="551" spans="1:8" ht="38.25">
      <c r="A551" s="391">
        <v>11950</v>
      </c>
      <c r="B551" s="208" t="s">
        <v>2384</v>
      </c>
      <c r="C551" s="97" t="s">
        <v>57</v>
      </c>
      <c r="D551" s="465">
        <v>2</v>
      </c>
      <c r="E551" s="1422">
        <v>0.2</v>
      </c>
      <c r="F551" s="464">
        <f>TRUNC(D551*E551,2)</f>
        <v>0.4</v>
      </c>
    </row>
    <row r="552" spans="1:8">
      <c r="A552" s="639"/>
      <c r="B552" s="787"/>
      <c r="C552" s="87"/>
      <c r="D552" s="88"/>
      <c r="E552" s="299" t="s">
        <v>60</v>
      </c>
      <c r="F552" s="408">
        <f>SUM(F550:F551)</f>
        <v>11.83</v>
      </c>
    </row>
    <row r="553" spans="1:8" ht="15.75" thickBot="1">
      <c r="A553" s="1535"/>
      <c r="B553" s="2216" t="s">
        <v>55</v>
      </c>
      <c r="C553" s="2216"/>
      <c r="D553" s="2216"/>
      <c r="E553" s="2216"/>
      <c r="F553" s="1536">
        <f>F548+F552</f>
        <v>26.77</v>
      </c>
    </row>
    <row r="554" spans="1:8" ht="15.75" thickBot="1">
      <c r="A554" s="515"/>
      <c r="B554" s="774"/>
      <c r="C554" s="774"/>
      <c r="D554" s="774"/>
      <c r="E554" s="774"/>
      <c r="F554" s="775"/>
    </row>
    <row r="555" spans="1:8">
      <c r="A555" s="424" t="s">
        <v>2381</v>
      </c>
      <c r="B555" s="806" t="s">
        <v>2382</v>
      </c>
      <c r="C555" s="152" t="s">
        <v>57</v>
      </c>
      <c r="D555" s="807"/>
      <c r="E555" s="807"/>
      <c r="F555" s="808"/>
      <c r="H555" s="463" t="s">
        <v>489</v>
      </c>
    </row>
    <row r="556" spans="1:8">
      <c r="A556" s="2217" t="s">
        <v>1716</v>
      </c>
      <c r="B556" s="2218"/>
      <c r="C556" s="2218"/>
      <c r="D556" s="2218"/>
      <c r="E556" s="2218"/>
      <c r="F556" s="2219"/>
    </row>
    <row r="557" spans="1:8" ht="30">
      <c r="A557" s="78"/>
      <c r="B557" s="79" t="s">
        <v>50</v>
      </c>
      <c r="C557" s="80" t="s">
        <v>51</v>
      </c>
      <c r="D557" s="81" t="s">
        <v>52</v>
      </c>
      <c r="E557" s="82" t="s">
        <v>53</v>
      </c>
      <c r="F557" s="83" t="s">
        <v>54</v>
      </c>
    </row>
    <row r="558" spans="1:8">
      <c r="A558" s="150">
        <v>88264</v>
      </c>
      <c r="B558" s="101" t="s">
        <v>97</v>
      </c>
      <c r="C558" s="97" t="s">
        <v>59</v>
      </c>
      <c r="D558" s="231">
        <v>0.3523</v>
      </c>
      <c r="E558" s="228">
        <v>23.24</v>
      </c>
      <c r="F558" s="464">
        <f>TRUNC(D558*E558,2)</f>
        <v>8.18</v>
      </c>
    </row>
    <row r="559" spans="1:8" ht="25.5">
      <c r="A559" s="84">
        <v>88247</v>
      </c>
      <c r="B559" s="101" t="s">
        <v>96</v>
      </c>
      <c r="C559" s="97" t="s">
        <v>59</v>
      </c>
      <c r="D559" s="231">
        <v>0.3523</v>
      </c>
      <c r="E559" s="1422">
        <v>19.2</v>
      </c>
      <c r="F559" s="464">
        <f>TRUNC(D559*E559,2)</f>
        <v>6.76</v>
      </c>
    </row>
    <row r="560" spans="1:8">
      <c r="A560" s="776"/>
      <c r="B560" s="222"/>
      <c r="C560" s="87"/>
      <c r="D560" s="88"/>
      <c r="E560" s="1534" t="s">
        <v>60</v>
      </c>
      <c r="F560" s="466">
        <f>SUM(F558:F559)</f>
        <v>14.94</v>
      </c>
    </row>
    <row r="561" spans="1:6" ht="30">
      <c r="A561" s="95"/>
      <c r="B561" s="1389" t="s">
        <v>98</v>
      </c>
      <c r="C561" s="92" t="s">
        <v>51</v>
      </c>
      <c r="D561" s="93" t="s">
        <v>52</v>
      </c>
      <c r="E561" s="105" t="s">
        <v>64</v>
      </c>
      <c r="F561" s="94" t="s">
        <v>54</v>
      </c>
    </row>
    <row r="562" spans="1:6">
      <c r="A562" s="391">
        <v>39341</v>
      </c>
      <c r="B562" s="208" t="s">
        <v>2387</v>
      </c>
      <c r="C562" s="97" t="s">
        <v>57</v>
      </c>
      <c r="D562" s="465">
        <v>1</v>
      </c>
      <c r="E562" s="1422">
        <v>10.24</v>
      </c>
      <c r="F562" s="464">
        <f>TRUNC(D562*E562,2)</f>
        <v>10.24</v>
      </c>
    </row>
    <row r="563" spans="1:6" ht="38.25">
      <c r="A563" s="391">
        <v>11950</v>
      </c>
      <c r="B563" s="208" t="s">
        <v>2384</v>
      </c>
      <c r="C563" s="97" t="s">
        <v>57</v>
      </c>
      <c r="D563" s="465">
        <v>2</v>
      </c>
      <c r="E563" s="1422">
        <v>0.2</v>
      </c>
      <c r="F563" s="464">
        <f>TRUNC(D563*E563,2)</f>
        <v>0.4</v>
      </c>
    </row>
    <row r="564" spans="1:6">
      <c r="A564" s="639"/>
      <c r="B564" s="787"/>
      <c r="C564" s="87"/>
      <c r="D564" s="88"/>
      <c r="E564" s="299" t="s">
        <v>60</v>
      </c>
      <c r="F564" s="408">
        <f>SUM(F562:F563)</f>
        <v>10.64</v>
      </c>
    </row>
    <row r="565" spans="1:6" ht="15.75" thickBot="1">
      <c r="A565" s="1535"/>
      <c r="B565" s="2216" t="s">
        <v>55</v>
      </c>
      <c r="C565" s="2216"/>
      <c r="D565" s="2216"/>
      <c r="E565" s="2216"/>
      <c r="F565" s="1536">
        <f>F560+F564</f>
        <v>25.58</v>
      </c>
    </row>
    <row r="566" spans="1:6" ht="6" customHeight="1" thickBot="1"/>
    <row r="567" spans="1:6" ht="40.5" customHeight="1" thickBot="1">
      <c r="A567" s="2124" t="s">
        <v>145</v>
      </c>
      <c r="B567" s="2125"/>
      <c r="C567" s="2035" t="s">
        <v>124</v>
      </c>
      <c r="D567" s="2036"/>
      <c r="E567" s="2036"/>
      <c r="F567" s="2037"/>
    </row>
    <row r="799" ht="44.25" customHeight="1"/>
  </sheetData>
  <mergeCells count="215">
    <mergeCell ref="B469:E469"/>
    <mergeCell ref="A442:F442"/>
    <mergeCell ref="B451:E451"/>
    <mergeCell ref="B403:E403"/>
    <mergeCell ref="A406:F406"/>
    <mergeCell ref="B414:E414"/>
    <mergeCell ref="B415:E415"/>
    <mergeCell ref="D416:E416"/>
    <mergeCell ref="D391:E391"/>
    <mergeCell ref="D392:E392"/>
    <mergeCell ref="D417:E417"/>
    <mergeCell ref="D419:E419"/>
    <mergeCell ref="D420:E420"/>
    <mergeCell ref="A423:F423"/>
    <mergeCell ref="D437:E437"/>
    <mergeCell ref="A460:F460"/>
    <mergeCell ref="B434:E434"/>
    <mergeCell ref="D435:E435"/>
    <mergeCell ref="D436:E436"/>
    <mergeCell ref="B452:E452"/>
    <mergeCell ref="D453:E453"/>
    <mergeCell ref="D454:E454"/>
    <mergeCell ref="D455:E455"/>
    <mergeCell ref="D456:E456"/>
    <mergeCell ref="D438:E438"/>
    <mergeCell ref="D439:E439"/>
    <mergeCell ref="B433:E433"/>
    <mergeCell ref="D104:E104"/>
    <mergeCell ref="D105:E105"/>
    <mergeCell ref="D106:E106"/>
    <mergeCell ref="D107:E107"/>
    <mergeCell ref="A110:F110"/>
    <mergeCell ref="B135:E135"/>
    <mergeCell ref="B136:E136"/>
    <mergeCell ref="D137:E137"/>
    <mergeCell ref="D140:E140"/>
    <mergeCell ref="B118:E118"/>
    <mergeCell ref="B119:E119"/>
    <mergeCell ref="D120:E120"/>
    <mergeCell ref="D121:E121"/>
    <mergeCell ref="D122:E122"/>
    <mergeCell ref="D124:E124"/>
    <mergeCell ref="A127:F127"/>
    <mergeCell ref="D138:E138"/>
    <mergeCell ref="D139:E139"/>
    <mergeCell ref="D141:E141"/>
    <mergeCell ref="B330:E330"/>
    <mergeCell ref="A144:F144"/>
    <mergeCell ref="B152:E152"/>
    <mergeCell ref="B153:E153"/>
    <mergeCell ref="D154:E154"/>
    <mergeCell ref="D155:E155"/>
    <mergeCell ref="D156:E156"/>
    <mergeCell ref="D157:E157"/>
    <mergeCell ref="D158:E158"/>
    <mergeCell ref="B186:E186"/>
    <mergeCell ref="D206:E206"/>
    <mergeCell ref="D207:E207"/>
    <mergeCell ref="D208:E208"/>
    <mergeCell ref="D209:E209"/>
    <mergeCell ref="B239:E239"/>
    <mergeCell ref="A242:F242"/>
    <mergeCell ref="A161:F161"/>
    <mergeCell ref="B169:E169"/>
    <mergeCell ref="B170:E170"/>
    <mergeCell ref="D171:E171"/>
    <mergeCell ref="D172:E172"/>
    <mergeCell ref="D173:E173"/>
    <mergeCell ref="D174:E174"/>
    <mergeCell ref="B52:E52"/>
    <mergeCell ref="D53:E53"/>
    <mergeCell ref="D54:E54"/>
    <mergeCell ref="B36:E36"/>
    <mergeCell ref="D37:E37"/>
    <mergeCell ref="D38:E38"/>
    <mergeCell ref="D39:E39"/>
    <mergeCell ref="D40:E40"/>
    <mergeCell ref="D41:E41"/>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D86:E86"/>
    <mergeCell ref="D87:E87"/>
    <mergeCell ref="D88:E88"/>
    <mergeCell ref="D89:E89"/>
    <mergeCell ref="A16:F16"/>
    <mergeCell ref="D175:E175"/>
    <mergeCell ref="A178:F178"/>
    <mergeCell ref="D283:E283"/>
    <mergeCell ref="D284:E284"/>
    <mergeCell ref="D267:E267"/>
    <mergeCell ref="B261:E261"/>
    <mergeCell ref="B262:E262"/>
    <mergeCell ref="D263:E263"/>
    <mergeCell ref="D264:E264"/>
    <mergeCell ref="D265:E265"/>
    <mergeCell ref="A231:F231"/>
    <mergeCell ref="B250:E250"/>
    <mergeCell ref="A253:F253"/>
    <mergeCell ref="B205:E205"/>
    <mergeCell ref="B101:E101"/>
    <mergeCell ref="B102:E102"/>
    <mergeCell ref="D103:E103"/>
    <mergeCell ref="D123:E123"/>
    <mergeCell ref="D90:E90"/>
    <mergeCell ref="D57:E57"/>
    <mergeCell ref="A76:F76"/>
    <mergeCell ref="B84:E84"/>
    <mergeCell ref="B85:E85"/>
    <mergeCell ref="A287:F287"/>
    <mergeCell ref="B295:E295"/>
    <mergeCell ref="B296:E296"/>
    <mergeCell ref="D297:E297"/>
    <mergeCell ref="D298:E298"/>
    <mergeCell ref="D299:E299"/>
    <mergeCell ref="D300:E300"/>
    <mergeCell ref="A189:F189"/>
    <mergeCell ref="B198:E198"/>
    <mergeCell ref="A270:F270"/>
    <mergeCell ref="B278:E278"/>
    <mergeCell ref="B279:E279"/>
    <mergeCell ref="D280:E280"/>
    <mergeCell ref="D281:E281"/>
    <mergeCell ref="D282:E282"/>
    <mergeCell ref="B228:E228"/>
    <mergeCell ref="A212:F212"/>
    <mergeCell ref="D266:E266"/>
    <mergeCell ref="B199:E199"/>
    <mergeCell ref="D200:E200"/>
    <mergeCell ref="D201:E201"/>
    <mergeCell ref="D202:E202"/>
    <mergeCell ref="D203:E203"/>
    <mergeCell ref="D204:E204"/>
    <mergeCell ref="D360:E360"/>
    <mergeCell ref="D361:E361"/>
    <mergeCell ref="D362:E362"/>
    <mergeCell ref="A395:F395"/>
    <mergeCell ref="D301:E301"/>
    <mergeCell ref="A304:F304"/>
    <mergeCell ref="B312:E312"/>
    <mergeCell ref="B313:E313"/>
    <mergeCell ref="D314:E314"/>
    <mergeCell ref="D315:E315"/>
    <mergeCell ref="D316:E316"/>
    <mergeCell ref="D317:E317"/>
    <mergeCell ref="D318:E318"/>
    <mergeCell ref="D363:E363"/>
    <mergeCell ref="D364:E364"/>
    <mergeCell ref="A367:F367"/>
    <mergeCell ref="B375:E375"/>
    <mergeCell ref="D475:E475"/>
    <mergeCell ref="D493:E493"/>
    <mergeCell ref="D494:E494"/>
    <mergeCell ref="B489:E489"/>
    <mergeCell ref="D490:E490"/>
    <mergeCell ref="A321:F321"/>
    <mergeCell ref="A333:F333"/>
    <mergeCell ref="B341:E341"/>
    <mergeCell ref="B342:E342"/>
    <mergeCell ref="A378:F378"/>
    <mergeCell ref="D343:E343"/>
    <mergeCell ref="D344:E344"/>
    <mergeCell ref="D418:E418"/>
    <mergeCell ref="B386:E386"/>
    <mergeCell ref="B387:E387"/>
    <mergeCell ref="D388:E388"/>
    <mergeCell ref="D389:E389"/>
    <mergeCell ref="D390:E390"/>
    <mergeCell ref="D345:E345"/>
    <mergeCell ref="D346:E346"/>
    <mergeCell ref="D347:E347"/>
    <mergeCell ref="A350:F350"/>
    <mergeCell ref="B358:E358"/>
    <mergeCell ref="B359:E359"/>
    <mergeCell ref="D457:E457"/>
    <mergeCell ref="B470:E470"/>
    <mergeCell ref="D471:E471"/>
    <mergeCell ref="D472:E472"/>
    <mergeCell ref="B565:E565"/>
    <mergeCell ref="A567:B567"/>
    <mergeCell ref="C567:F567"/>
    <mergeCell ref="A508:F508"/>
    <mergeCell ref="B517:E517"/>
    <mergeCell ref="A520:F520"/>
    <mergeCell ref="B529:E529"/>
    <mergeCell ref="A532:F532"/>
    <mergeCell ref="B541:E541"/>
    <mergeCell ref="A544:F544"/>
    <mergeCell ref="B553:E553"/>
    <mergeCell ref="A556:F556"/>
    <mergeCell ref="A478:F478"/>
    <mergeCell ref="B488:E488"/>
    <mergeCell ref="D491:E491"/>
    <mergeCell ref="D492:E492"/>
    <mergeCell ref="A497:F497"/>
    <mergeCell ref="B505:E505"/>
    <mergeCell ref="D473:E473"/>
    <mergeCell ref="D474:E474"/>
  </mergeCells>
  <hyperlinks>
    <hyperlink ref="F202" r:id="rId1"/>
    <hyperlink ref="F207" r:id="rId2" display="www.upperseg.com.br"/>
    <hyperlink ref="F203" r:id="rId3"/>
    <hyperlink ref="F139" r:id="rId4"/>
    <hyperlink ref="F140" r:id="rId5"/>
    <hyperlink ref="F156" r:id="rId6"/>
    <hyperlink ref="F317" r:id="rId7"/>
  </hyperlinks>
  <printOptions horizontalCentered="1"/>
  <pageMargins left="0.51181102362204722" right="0.51181102362204722" top="0.78740157480314965" bottom="0.78740157480314965" header="0.31496062992125984" footer="0.31496062992125984"/>
  <pageSetup paperSize="9" scale="70" orientation="portrait" r:id="rId8"/>
  <ignoredErrors>
    <ignoredError sqref="C90" evalError="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8"/>
  <sheetViews>
    <sheetView topLeftCell="A265" workbookViewId="0">
      <selection activeCell="E285" sqref="E285"/>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134"/>
      <c r="B1" s="135"/>
      <c r="C1" s="135"/>
      <c r="D1" s="135"/>
      <c r="E1" s="135"/>
      <c r="F1" s="136"/>
    </row>
    <row r="2" spans="1:8">
      <c r="A2" s="129"/>
      <c r="B2" s="45"/>
      <c r="C2" s="45"/>
      <c r="D2" s="45"/>
      <c r="E2" s="45"/>
      <c r="F2" s="130"/>
    </row>
    <row r="3" spans="1:8">
      <c r="A3" s="129"/>
      <c r="B3" s="2136" t="s">
        <v>135</v>
      </c>
      <c r="C3" s="2136"/>
      <c r="D3" s="2136"/>
      <c r="E3" s="2136"/>
      <c r="F3" s="2137"/>
    </row>
    <row r="4" spans="1:8">
      <c r="A4" s="129"/>
      <c r="B4" s="2136" t="s">
        <v>136</v>
      </c>
      <c r="C4" s="2136"/>
      <c r="D4" s="2136"/>
      <c r="E4" s="2136"/>
      <c r="F4" s="2137"/>
    </row>
    <row r="5" spans="1:8">
      <c r="A5" s="129"/>
      <c r="B5" s="2145" t="s">
        <v>296</v>
      </c>
      <c r="C5" s="2145"/>
      <c r="D5" s="2145"/>
      <c r="E5" s="2145"/>
      <c r="F5" s="2146"/>
    </row>
    <row r="6" spans="1:8" ht="15.75" thickBot="1">
      <c r="A6" s="1492"/>
      <c r="B6" s="1834"/>
      <c r="C6" s="1834"/>
      <c r="D6" s="1834"/>
      <c r="E6" s="1834"/>
      <c r="F6" s="1835"/>
    </row>
    <row r="7" spans="1:8" ht="3.75" customHeight="1" thickBot="1"/>
    <row r="8" spans="1:8">
      <c r="A8" s="248" t="s">
        <v>0</v>
      </c>
      <c r="B8" s="135" t="str">
        <f>'PLANILHA SEM DESON'!B8:C8</f>
        <v>364778/2019</v>
      </c>
      <c r="C8" s="135"/>
      <c r="D8" s="135"/>
      <c r="E8" s="249" t="s">
        <v>139</v>
      </c>
      <c r="F8" s="695">
        <f>'PLANILHA SEM DESON'!I11</f>
        <v>44412</v>
      </c>
    </row>
    <row r="9" spans="1:8">
      <c r="A9" s="218" t="s">
        <v>1</v>
      </c>
      <c r="B9" s="45" t="str">
        <f>'PLANILHA SEM DESON'!B9:C9</f>
        <v>CONSTRUÇÃO DE DIRETORIA DE UNIDADE DESCONCENTRADA DA SEMA - DUDS</v>
      </c>
      <c r="C9" s="45"/>
      <c r="D9" s="45"/>
      <c r="E9" s="45"/>
      <c r="F9" s="130"/>
    </row>
    <row r="10" spans="1:8">
      <c r="A10" s="218" t="s">
        <v>2</v>
      </c>
      <c r="B10" s="45" t="str">
        <f>'PLANILHA SEM DESON'!B10:C10</f>
        <v>RUA 24 A - JARDIM TANGARA II</v>
      </c>
      <c r="C10" s="45"/>
      <c r="D10" s="45"/>
      <c r="E10" s="45"/>
      <c r="F10" s="130"/>
    </row>
    <row r="11" spans="1:8">
      <c r="A11" s="218" t="s">
        <v>4</v>
      </c>
      <c r="B11" s="45" t="str">
        <f>'PLANILHA SEM DESON'!B11:C11</f>
        <v>TANGARÁ DA SERRA - MT</v>
      </c>
      <c r="C11" s="45"/>
      <c r="D11" s="45"/>
      <c r="E11" s="45"/>
      <c r="F11" s="130"/>
    </row>
    <row r="12" spans="1:8" ht="15.75" thickBot="1">
      <c r="A12" s="1836" t="s">
        <v>6</v>
      </c>
      <c r="B12" s="1834" t="str">
        <f>'PLANILHA SEM DESON'!B12</f>
        <v xml:space="preserve">CONSTRUÇÃO </v>
      </c>
      <c r="C12" s="1834"/>
      <c r="D12" s="1834"/>
      <c r="E12" s="1834"/>
      <c r="F12" s="1835"/>
    </row>
    <row r="13" spans="1:8" ht="3.75" customHeight="1" thickBot="1">
      <c r="A13" s="45"/>
    </row>
    <row r="14" spans="1:8" ht="16.5" thickBot="1">
      <c r="A14" s="2241" t="s">
        <v>490</v>
      </c>
      <c r="B14" s="2242"/>
      <c r="C14" s="2242"/>
      <c r="D14" s="2242"/>
      <c r="E14" s="2242"/>
      <c r="F14" s="2243"/>
      <c r="H14" s="432"/>
    </row>
    <row r="15" spans="1:8" ht="25.5">
      <c r="A15" s="424" t="s">
        <v>491</v>
      </c>
      <c r="B15" s="259" t="s">
        <v>492</v>
      </c>
      <c r="C15" s="433" t="s">
        <v>57</v>
      </c>
      <c r="D15" s="153"/>
      <c r="E15" s="154"/>
      <c r="F15" s="246"/>
      <c r="G15" s="431"/>
      <c r="H15" s="431"/>
    </row>
    <row r="16" spans="1:8">
      <c r="A16" s="2207" t="s">
        <v>1895</v>
      </c>
      <c r="B16" s="2208"/>
      <c r="C16" s="2208"/>
      <c r="D16" s="2208"/>
      <c r="E16" s="2208"/>
      <c r="F16" s="2209"/>
    </row>
    <row r="17" spans="1:8" ht="25.5">
      <c r="A17" s="260"/>
      <c r="B17" s="434" t="s">
        <v>58</v>
      </c>
      <c r="C17" s="435" t="s">
        <v>51</v>
      </c>
      <c r="D17" s="436" t="s">
        <v>52</v>
      </c>
      <c r="E17" s="437" t="s">
        <v>64</v>
      </c>
      <c r="F17" s="438" t="s">
        <v>54</v>
      </c>
    </row>
    <row r="18" spans="1:8" ht="25.5">
      <c r="A18" s="426" t="s">
        <v>493</v>
      </c>
      <c r="B18" s="439" t="s">
        <v>105</v>
      </c>
      <c r="C18" s="337" t="s">
        <v>59</v>
      </c>
      <c r="D18" s="440">
        <v>0.108</v>
      </c>
      <c r="E18" s="206">
        <v>18.399999999999999</v>
      </c>
      <c r="F18" s="1903">
        <f>TRUNC((D18*E18),2)</f>
        <v>1.98</v>
      </c>
    </row>
    <row r="19" spans="1:8" ht="25.5">
      <c r="A19" s="426" t="s">
        <v>494</v>
      </c>
      <c r="B19" s="439" t="s">
        <v>106</v>
      </c>
      <c r="C19" s="337" t="s">
        <v>59</v>
      </c>
      <c r="D19" s="440">
        <v>0.108</v>
      </c>
      <c r="E19" s="206">
        <v>22.37</v>
      </c>
      <c r="F19" s="1903">
        <f>TRUNC((D19*E19),2)</f>
        <v>2.41</v>
      </c>
    </row>
    <row r="20" spans="1:8">
      <c r="A20" s="1904"/>
      <c r="B20" s="1320"/>
      <c r="C20" s="337" t="s">
        <v>43</v>
      </c>
      <c r="D20" s="441" t="s">
        <v>43</v>
      </c>
      <c r="E20" s="442" t="s">
        <v>60</v>
      </c>
      <c r="F20" s="1905">
        <f>SUM(F18:F19)</f>
        <v>4.3900000000000006</v>
      </c>
    </row>
    <row r="21" spans="1:8" ht="25.5">
      <c r="A21" s="1904"/>
      <c r="B21" s="1906" t="s">
        <v>98</v>
      </c>
      <c r="C21" s="371" t="s">
        <v>51</v>
      </c>
      <c r="D21" s="443" t="s">
        <v>52</v>
      </c>
      <c r="E21" s="444" t="s">
        <v>64</v>
      </c>
      <c r="F21" s="1905" t="s">
        <v>54</v>
      </c>
    </row>
    <row r="22" spans="1:8">
      <c r="A22" s="426" t="s">
        <v>495</v>
      </c>
      <c r="B22" s="439" t="s">
        <v>130</v>
      </c>
      <c r="C22" s="337" t="s">
        <v>57</v>
      </c>
      <c r="D22" s="445">
        <v>1.7999999999999999E-2</v>
      </c>
      <c r="E22" s="228">
        <v>76.86</v>
      </c>
      <c r="F22" s="1903">
        <f>TRUNC((D22*E22),2)</f>
        <v>1.38</v>
      </c>
      <c r="H22" s="446"/>
    </row>
    <row r="23" spans="1:8" ht="25.5">
      <c r="A23" s="426" t="s">
        <v>496</v>
      </c>
      <c r="B23" s="439" t="s">
        <v>497</v>
      </c>
      <c r="C23" s="337" t="s">
        <v>57</v>
      </c>
      <c r="D23" s="445">
        <v>1</v>
      </c>
      <c r="E23" s="228">
        <v>7.04</v>
      </c>
      <c r="F23" s="1903">
        <f>TRUNC((D23*E23),2)</f>
        <v>7.04</v>
      </c>
      <c r="H23" s="446"/>
    </row>
    <row r="24" spans="1:8">
      <c r="A24" s="426" t="s">
        <v>498</v>
      </c>
      <c r="B24" s="439" t="s">
        <v>131</v>
      </c>
      <c r="C24" s="337" t="s">
        <v>57</v>
      </c>
      <c r="D24" s="440">
        <v>2.1999999999999999E-2</v>
      </c>
      <c r="E24" s="228">
        <v>87.08</v>
      </c>
      <c r="F24" s="1903">
        <f>TRUNC((D24*E24),2)</f>
        <v>1.91</v>
      </c>
      <c r="H24" s="446"/>
    </row>
    <row r="25" spans="1:8">
      <c r="A25" s="426" t="s">
        <v>499</v>
      </c>
      <c r="B25" s="439" t="s">
        <v>177</v>
      </c>
      <c r="C25" s="337" t="s">
        <v>57</v>
      </c>
      <c r="D25" s="440">
        <v>2.4E-2</v>
      </c>
      <c r="E25" s="228">
        <v>2.3199999999999998</v>
      </c>
      <c r="F25" s="1903">
        <f>TRUNC((D25*E25),2)</f>
        <v>0.05</v>
      </c>
      <c r="H25" s="447"/>
    </row>
    <row r="26" spans="1:8" ht="15.75" thickBot="1">
      <c r="A26" s="210"/>
      <c r="B26" s="369"/>
      <c r="C26" s="1766"/>
      <c r="D26" s="448"/>
      <c r="E26" s="449" t="s">
        <v>60</v>
      </c>
      <c r="F26" s="410">
        <f>SUM(F22:F25)</f>
        <v>10.38</v>
      </c>
      <c r="H26" s="450"/>
    </row>
    <row r="27" spans="1:8" ht="15.75" thickBot="1">
      <c r="A27" s="1377"/>
      <c r="B27" s="2108" t="s">
        <v>55</v>
      </c>
      <c r="C27" s="2108"/>
      <c r="D27" s="2108"/>
      <c r="E27" s="2108"/>
      <c r="F27" s="1378">
        <f>F20+F26</f>
        <v>14.770000000000001</v>
      </c>
      <c r="H27" s="450"/>
    </row>
    <row r="28" spans="1:8" ht="15.75" thickBot="1">
      <c r="H28" s="379"/>
    </row>
    <row r="29" spans="1:8" ht="25.5">
      <c r="A29" s="424" t="s">
        <v>500</v>
      </c>
      <c r="B29" s="771" t="s">
        <v>1894</v>
      </c>
      <c r="C29" s="433" t="s">
        <v>57</v>
      </c>
      <c r="D29" s="153"/>
      <c r="E29" s="154"/>
      <c r="F29" s="246"/>
      <c r="G29" s="431"/>
      <c r="H29" s="431"/>
    </row>
    <row r="30" spans="1:8" ht="15" customHeight="1">
      <c r="A30" s="2207" t="s">
        <v>1895</v>
      </c>
      <c r="B30" s="2208"/>
      <c r="C30" s="2208"/>
      <c r="D30" s="2208"/>
      <c r="E30" s="2208"/>
      <c r="F30" s="2209"/>
    </row>
    <row r="31" spans="1:8" ht="25.5">
      <c r="A31" s="260"/>
      <c r="B31" s="434" t="s">
        <v>58</v>
      </c>
      <c r="C31" s="435" t="s">
        <v>51</v>
      </c>
      <c r="D31" s="436" t="s">
        <v>52</v>
      </c>
      <c r="E31" s="437" t="s">
        <v>64</v>
      </c>
      <c r="F31" s="438" t="s">
        <v>54</v>
      </c>
    </row>
    <row r="32" spans="1:8" ht="25.5">
      <c r="A32" s="426" t="s">
        <v>493</v>
      </c>
      <c r="B32" s="439" t="s">
        <v>105</v>
      </c>
      <c r="C32" s="337" t="s">
        <v>59</v>
      </c>
      <c r="D32" s="440">
        <v>0.108</v>
      </c>
      <c r="E32" s="206">
        <v>18.399999999999999</v>
      </c>
      <c r="F32" s="1903">
        <f>TRUNC((D32*E32),2)</f>
        <v>1.98</v>
      </c>
      <c r="H32" s="451"/>
    </row>
    <row r="33" spans="1:9" ht="25.5">
      <c r="A33" s="426" t="s">
        <v>494</v>
      </c>
      <c r="B33" s="439" t="s">
        <v>106</v>
      </c>
      <c r="C33" s="337" t="s">
        <v>59</v>
      </c>
      <c r="D33" s="440">
        <v>0.108</v>
      </c>
      <c r="E33" s="206">
        <v>22.37</v>
      </c>
      <c r="F33" s="1903">
        <f>TRUNC((D33*E33),2)</f>
        <v>2.41</v>
      </c>
      <c r="H33" s="451"/>
    </row>
    <row r="34" spans="1:9">
      <c r="A34" s="1904"/>
      <c r="B34" s="1320"/>
      <c r="C34" s="337" t="s">
        <v>43</v>
      </c>
      <c r="D34" s="441" t="s">
        <v>43</v>
      </c>
      <c r="E34" s="442" t="s">
        <v>60</v>
      </c>
      <c r="F34" s="1905">
        <f>SUM(F32:F33)</f>
        <v>4.3900000000000006</v>
      </c>
      <c r="H34" s="451"/>
    </row>
    <row r="35" spans="1:9" ht="25.5">
      <c r="A35" s="1904"/>
      <c r="B35" s="1906" t="s">
        <v>98</v>
      </c>
      <c r="C35" s="371" t="s">
        <v>51</v>
      </c>
      <c r="D35" s="443" t="s">
        <v>52</v>
      </c>
      <c r="E35" s="444" t="s">
        <v>64</v>
      </c>
      <c r="F35" s="1905" t="s">
        <v>54</v>
      </c>
      <c r="H35" s="451"/>
    </row>
    <row r="36" spans="1:9">
      <c r="A36" s="426" t="s">
        <v>495</v>
      </c>
      <c r="B36" s="439" t="s">
        <v>130</v>
      </c>
      <c r="C36" s="337" t="s">
        <v>57</v>
      </c>
      <c r="D36" s="445">
        <v>1.7999999999999999E-2</v>
      </c>
      <c r="E36" s="228">
        <v>76.86</v>
      </c>
      <c r="F36" s="1903">
        <f>TRUNC((D36*E36),2)</f>
        <v>1.38</v>
      </c>
      <c r="H36" s="451"/>
      <c r="I36" s="446"/>
    </row>
    <row r="37" spans="1:9" ht="25.5">
      <c r="A37" s="426">
        <v>3538</v>
      </c>
      <c r="B37" s="208" t="s">
        <v>1894</v>
      </c>
      <c r="C37" s="337" t="s">
        <v>57</v>
      </c>
      <c r="D37" s="445">
        <v>1</v>
      </c>
      <c r="E37" s="228">
        <v>4.93</v>
      </c>
      <c r="F37" s="1903">
        <f>TRUNC((D37*E37),2)</f>
        <v>4.93</v>
      </c>
      <c r="H37" s="451"/>
      <c r="I37" s="446"/>
    </row>
    <row r="38" spans="1:9">
      <c r="A38" s="426" t="s">
        <v>498</v>
      </c>
      <c r="B38" s="439" t="s">
        <v>131</v>
      </c>
      <c r="C38" s="337" t="s">
        <v>57</v>
      </c>
      <c r="D38" s="440">
        <v>2.1999999999999999E-2</v>
      </c>
      <c r="E38" s="228">
        <v>87.08</v>
      </c>
      <c r="F38" s="1903">
        <f>TRUNC((D38*E38),2)</f>
        <v>1.91</v>
      </c>
      <c r="H38" s="451"/>
      <c r="I38" s="446"/>
    </row>
    <row r="39" spans="1:9" ht="25.5">
      <c r="A39" s="426">
        <v>3767</v>
      </c>
      <c r="B39" s="439" t="s">
        <v>183</v>
      </c>
      <c r="C39" s="337" t="s">
        <v>57</v>
      </c>
      <c r="D39" s="440">
        <v>2.4E-2</v>
      </c>
      <c r="E39" s="228">
        <v>1.19</v>
      </c>
      <c r="F39" s="1903">
        <f>TRUNC((D39*E39),2)</f>
        <v>0.02</v>
      </c>
      <c r="H39" s="451"/>
      <c r="I39" s="446"/>
    </row>
    <row r="40" spans="1:9" ht="15.75" thickBot="1">
      <c r="A40" s="210"/>
      <c r="B40" s="369"/>
      <c r="C40" s="1766"/>
      <c r="D40" s="448"/>
      <c r="E40" s="449" t="s">
        <v>60</v>
      </c>
      <c r="F40" s="410">
        <f>SUM(F36:F39)</f>
        <v>8.2399999999999984</v>
      </c>
    </row>
    <row r="41" spans="1:9" ht="15.75" thickBot="1">
      <c r="A41" s="1377"/>
      <c r="B41" s="2108" t="s">
        <v>55</v>
      </c>
      <c r="C41" s="2108"/>
      <c r="D41" s="2108"/>
      <c r="E41" s="2108"/>
      <c r="F41" s="1378">
        <f>F34+F40</f>
        <v>12.629999999999999</v>
      </c>
    </row>
    <row r="42" spans="1:9" ht="15.75" thickBot="1"/>
    <row r="43" spans="1:9" ht="26.25" customHeight="1">
      <c r="A43" s="424" t="s">
        <v>502</v>
      </c>
      <c r="B43" s="259" t="s">
        <v>1876</v>
      </c>
      <c r="C43" s="433" t="s">
        <v>57</v>
      </c>
      <c r="D43" s="153"/>
      <c r="E43" s="154"/>
      <c r="F43" s="246"/>
      <c r="H43" s="431"/>
    </row>
    <row r="44" spans="1:9" ht="15" customHeight="1">
      <c r="A44" s="2207" t="s">
        <v>1895</v>
      </c>
      <c r="B44" s="2208"/>
      <c r="C44" s="2208"/>
      <c r="D44" s="2208"/>
      <c r="E44" s="2208"/>
      <c r="F44" s="2209"/>
      <c r="H44" s="379"/>
    </row>
    <row r="45" spans="1:9" ht="25.5">
      <c r="A45" s="260"/>
      <c r="B45" s="434" t="s">
        <v>58</v>
      </c>
      <c r="C45" s="435" t="s">
        <v>51</v>
      </c>
      <c r="D45" s="436" t="s">
        <v>52</v>
      </c>
      <c r="E45" s="437" t="s">
        <v>64</v>
      </c>
      <c r="F45" s="438" t="s">
        <v>54</v>
      </c>
      <c r="H45" s="452"/>
    </row>
    <row r="46" spans="1:9" ht="25.5">
      <c r="A46" s="426" t="s">
        <v>493</v>
      </c>
      <c r="B46" s="439" t="s">
        <v>105</v>
      </c>
      <c r="C46" s="337" t="s">
        <v>59</v>
      </c>
      <c r="D46" s="440">
        <v>0.108</v>
      </c>
      <c r="E46" s="206">
        <v>18.399999999999999</v>
      </c>
      <c r="F46" s="1903">
        <f>TRUNC((D46*E46),2)</f>
        <v>1.98</v>
      </c>
      <c r="H46" s="453"/>
    </row>
    <row r="47" spans="1:9" ht="25.5">
      <c r="A47" s="426" t="s">
        <v>494</v>
      </c>
      <c r="B47" s="439" t="s">
        <v>106</v>
      </c>
      <c r="C47" s="337" t="s">
        <v>59</v>
      </c>
      <c r="D47" s="440">
        <v>0.108</v>
      </c>
      <c r="E47" s="206">
        <v>22.37</v>
      </c>
      <c r="F47" s="1903">
        <f>TRUNC((D47*E47),2)</f>
        <v>2.41</v>
      </c>
      <c r="H47" s="453"/>
    </row>
    <row r="48" spans="1:9">
      <c r="A48" s="1904"/>
      <c r="B48" s="1320"/>
      <c r="C48" s="337" t="s">
        <v>43</v>
      </c>
      <c r="D48" s="441" t="s">
        <v>43</v>
      </c>
      <c r="E48" s="442" t="s">
        <v>60</v>
      </c>
      <c r="F48" s="1905">
        <f>SUM(F46:F47)</f>
        <v>4.3900000000000006</v>
      </c>
      <c r="H48" s="452"/>
    </row>
    <row r="49" spans="1:9" ht="25.5">
      <c r="A49" s="1904"/>
      <c r="B49" s="1906" t="s">
        <v>98</v>
      </c>
      <c r="C49" s="371" t="s">
        <v>51</v>
      </c>
      <c r="D49" s="443" t="s">
        <v>52</v>
      </c>
      <c r="E49" s="444" t="s">
        <v>64</v>
      </c>
      <c r="F49" s="1905" t="s">
        <v>54</v>
      </c>
      <c r="H49" s="452"/>
    </row>
    <row r="50" spans="1:9">
      <c r="A50" s="426" t="s">
        <v>495</v>
      </c>
      <c r="B50" s="439" t="s">
        <v>130</v>
      </c>
      <c r="C50" s="337" t="s">
        <v>57</v>
      </c>
      <c r="D50" s="445">
        <v>1.7999999999999999E-2</v>
      </c>
      <c r="E50" s="228">
        <v>76.86</v>
      </c>
      <c r="F50" s="1903">
        <f>TRUNC((D50*E50),2)</f>
        <v>1.38</v>
      </c>
      <c r="H50" s="878"/>
      <c r="I50" s="879"/>
    </row>
    <row r="51" spans="1:9" ht="25.5">
      <c r="A51" s="426">
        <v>3511</v>
      </c>
      <c r="B51" s="439" t="s">
        <v>501</v>
      </c>
      <c r="C51" s="337" t="s">
        <v>57</v>
      </c>
      <c r="D51" s="445">
        <v>1</v>
      </c>
      <c r="E51" s="228">
        <v>114.73</v>
      </c>
      <c r="F51" s="1903">
        <f>TRUNC((D51*E51),2)</f>
        <v>114.73</v>
      </c>
      <c r="H51" s="878"/>
      <c r="I51" s="879"/>
    </row>
    <row r="52" spans="1:9">
      <c r="A52" s="426" t="s">
        <v>498</v>
      </c>
      <c r="B52" s="439" t="s">
        <v>131</v>
      </c>
      <c r="C52" s="337" t="s">
        <v>57</v>
      </c>
      <c r="D52" s="440">
        <v>2.1999999999999999E-2</v>
      </c>
      <c r="E52" s="228">
        <v>87.08</v>
      </c>
      <c r="F52" s="1903">
        <f>TRUNC((D52*E52),2)</f>
        <v>1.91</v>
      </c>
      <c r="H52" s="878"/>
      <c r="I52" s="879"/>
    </row>
    <row r="53" spans="1:9" ht="25.5">
      <c r="A53" s="426">
        <v>3767</v>
      </c>
      <c r="B53" s="439" t="s">
        <v>183</v>
      </c>
      <c r="C53" s="337" t="s">
        <v>57</v>
      </c>
      <c r="D53" s="440">
        <v>2.4E-2</v>
      </c>
      <c r="E53" s="228">
        <v>1.19</v>
      </c>
      <c r="F53" s="1903">
        <f>TRUNC((D53*E53),2)</f>
        <v>0.02</v>
      </c>
      <c r="H53" s="878"/>
      <c r="I53" s="879"/>
    </row>
    <row r="54" spans="1:9" ht="15.75" thickBot="1">
      <c r="A54" s="210"/>
      <c r="B54" s="369"/>
      <c r="C54" s="1766"/>
      <c r="D54" s="448"/>
      <c r="E54" s="449" t="s">
        <v>60</v>
      </c>
      <c r="F54" s="410">
        <f>SUM(F50:F53)</f>
        <v>118.03999999999999</v>
      </c>
      <c r="H54" s="880"/>
      <c r="I54" s="880"/>
    </row>
    <row r="55" spans="1:9" ht="15.75" thickBot="1">
      <c r="A55" s="1377"/>
      <c r="B55" s="2108" t="s">
        <v>55</v>
      </c>
      <c r="C55" s="2108"/>
      <c r="D55" s="2108"/>
      <c r="E55" s="2108"/>
      <c r="F55" s="1378">
        <f>F48+F54</f>
        <v>122.42999999999999</v>
      </c>
      <c r="H55" s="880"/>
      <c r="I55" s="880"/>
    </row>
    <row r="56" spans="1:9" ht="15.75" thickBot="1">
      <c r="H56" s="880"/>
      <c r="I56" s="880"/>
    </row>
    <row r="57" spans="1:9" ht="26.25" thickBot="1">
      <c r="A57" s="461" t="s">
        <v>503</v>
      </c>
      <c r="B57" s="479" t="s">
        <v>1890</v>
      </c>
      <c r="C57" s="1925" t="s">
        <v>57</v>
      </c>
      <c r="D57" s="1412"/>
      <c r="E57" s="1413"/>
      <c r="F57" s="1926"/>
      <c r="G57" s="431"/>
      <c r="H57" s="881"/>
      <c r="I57" s="62"/>
    </row>
    <row r="58" spans="1:9">
      <c r="A58" s="2247" t="s">
        <v>1891</v>
      </c>
      <c r="B58" s="2248"/>
      <c r="C58" s="2248"/>
      <c r="D58" s="2248"/>
      <c r="E58" s="2248"/>
      <c r="F58" s="2249"/>
    </row>
    <row r="59" spans="1:9" ht="25.5">
      <c r="A59" s="260"/>
      <c r="B59" s="434" t="s">
        <v>58</v>
      </c>
      <c r="C59" s="435" t="s">
        <v>51</v>
      </c>
      <c r="D59" s="436" t="s">
        <v>52</v>
      </c>
      <c r="E59" s="437" t="s">
        <v>64</v>
      </c>
      <c r="F59" s="438" t="s">
        <v>54</v>
      </c>
    </row>
    <row r="60" spans="1:9" ht="25.5">
      <c r="A60" s="426" t="s">
        <v>493</v>
      </c>
      <c r="B60" s="439" t="s">
        <v>105</v>
      </c>
      <c r="C60" s="337" t="s">
        <v>59</v>
      </c>
      <c r="D60" s="440">
        <v>0.6</v>
      </c>
      <c r="E60" s="206">
        <v>18.399999999999999</v>
      </c>
      <c r="F60" s="1903">
        <f>TRUNC((D60*E60),2)</f>
        <v>11.04</v>
      </c>
    </row>
    <row r="61" spans="1:9" ht="25.5">
      <c r="A61" s="426" t="s">
        <v>494</v>
      </c>
      <c r="B61" s="439" t="s">
        <v>106</v>
      </c>
      <c r="C61" s="337" t="s">
        <v>59</v>
      </c>
      <c r="D61" s="440">
        <v>0.6</v>
      </c>
      <c r="E61" s="206">
        <v>22.37</v>
      </c>
      <c r="F61" s="1903">
        <f>TRUNC((D61*E61),2)</f>
        <v>13.42</v>
      </c>
    </row>
    <row r="62" spans="1:9">
      <c r="A62" s="1904"/>
      <c r="B62" s="1320"/>
      <c r="C62" s="337" t="s">
        <v>43</v>
      </c>
      <c r="D62" s="441" t="s">
        <v>43</v>
      </c>
      <c r="E62" s="442" t="s">
        <v>60</v>
      </c>
      <c r="F62" s="1905">
        <f>SUM(F60:F61)</f>
        <v>24.46</v>
      </c>
    </row>
    <row r="63" spans="1:9" ht="25.5">
      <c r="A63" s="1904"/>
      <c r="B63" s="1906" t="s">
        <v>98</v>
      </c>
      <c r="C63" s="371" t="s">
        <v>51</v>
      </c>
      <c r="D63" s="443" t="s">
        <v>52</v>
      </c>
      <c r="E63" s="444" t="s">
        <v>64</v>
      </c>
      <c r="F63" s="1905" t="s">
        <v>54</v>
      </c>
      <c r="H63" s="454"/>
    </row>
    <row r="64" spans="1:9" ht="38.25">
      <c r="A64" s="426">
        <v>1413</v>
      </c>
      <c r="B64" s="208" t="s">
        <v>1892</v>
      </c>
      <c r="C64" s="337" t="s">
        <v>57</v>
      </c>
      <c r="D64" s="445">
        <v>1</v>
      </c>
      <c r="E64" s="228">
        <v>18.7</v>
      </c>
      <c r="F64" s="1903">
        <f>TRUNC((D64*E64),2)</f>
        <v>18.7</v>
      </c>
      <c r="H64" s="454"/>
    </row>
    <row r="65" spans="1:8">
      <c r="A65" s="426">
        <v>3148</v>
      </c>
      <c r="B65" s="208" t="s">
        <v>509</v>
      </c>
      <c r="C65" s="337" t="s">
        <v>57</v>
      </c>
      <c r="D65" s="445">
        <v>8.9999999999999993E-3</v>
      </c>
      <c r="E65" s="228">
        <v>18.25</v>
      </c>
      <c r="F65" s="1903">
        <f>TRUNC((D65*E65),2)</f>
        <v>0.16</v>
      </c>
      <c r="H65" s="454"/>
    </row>
    <row r="66" spans="1:8" ht="25.5">
      <c r="A66" s="426">
        <v>3907</v>
      </c>
      <c r="B66" s="208" t="s">
        <v>1893</v>
      </c>
      <c r="C66" s="337" t="s">
        <v>57</v>
      </c>
      <c r="D66" s="440">
        <v>1</v>
      </c>
      <c r="E66" s="228">
        <v>5.43</v>
      </c>
      <c r="F66" s="1903">
        <f>TRUNC((D66*E66),2)</f>
        <v>5.43</v>
      </c>
      <c r="H66" s="454"/>
    </row>
    <row r="67" spans="1:8" ht="15.75" thickBot="1">
      <c r="A67" s="210"/>
      <c r="B67" s="369"/>
      <c r="C67" s="1766"/>
      <c r="D67" s="448"/>
      <c r="E67" s="449" t="s">
        <v>60</v>
      </c>
      <c r="F67" s="410">
        <f>SUM(F64:F66)</f>
        <v>24.29</v>
      </c>
      <c r="H67" s="454"/>
    </row>
    <row r="68" spans="1:8" ht="15.75" thickBot="1">
      <c r="A68" s="1377"/>
      <c r="B68" s="2108" t="s">
        <v>55</v>
      </c>
      <c r="C68" s="2108"/>
      <c r="D68" s="2108"/>
      <c r="E68" s="2108"/>
      <c r="F68" s="1378">
        <f>F62+F67</f>
        <v>48.75</v>
      </c>
      <c r="H68" s="454"/>
    </row>
    <row r="69" spans="1:8" ht="15.75" thickBot="1"/>
    <row r="70" spans="1:8" ht="25.5">
      <c r="A70" s="424" t="s">
        <v>505</v>
      </c>
      <c r="B70" s="259" t="s">
        <v>270</v>
      </c>
      <c r="C70" s="433" t="s">
        <v>56</v>
      </c>
      <c r="D70" s="153"/>
      <c r="E70" s="154"/>
      <c r="F70" s="246"/>
      <c r="G70" s="431"/>
      <c r="H70" s="431"/>
    </row>
    <row r="71" spans="1:8">
      <c r="A71" s="2207" t="s">
        <v>507</v>
      </c>
      <c r="B71" s="2208"/>
      <c r="C71" s="2208"/>
      <c r="D71" s="2208"/>
      <c r="E71" s="2208"/>
      <c r="F71" s="2209"/>
    </row>
    <row r="72" spans="1:8" ht="25.5">
      <c r="A72" s="260"/>
      <c r="B72" s="434" t="s">
        <v>58</v>
      </c>
      <c r="C72" s="435" t="s">
        <v>51</v>
      </c>
      <c r="D72" s="436" t="s">
        <v>52</v>
      </c>
      <c r="E72" s="437" t="s">
        <v>64</v>
      </c>
      <c r="F72" s="438" t="s">
        <v>54</v>
      </c>
      <c r="H72" s="454"/>
    </row>
    <row r="73" spans="1:8" ht="25.5">
      <c r="A73" s="426" t="s">
        <v>493</v>
      </c>
      <c r="B73" s="439" t="s">
        <v>105</v>
      </c>
      <c r="C73" s="337" t="s">
        <v>59</v>
      </c>
      <c r="D73" s="440">
        <v>2.9000000000000001E-2</v>
      </c>
      <c r="E73" s="206">
        <v>18.399999999999999</v>
      </c>
      <c r="F73" s="1903">
        <f>TRUNC((D73*E73),2)</f>
        <v>0.53</v>
      </c>
      <c r="H73" s="454"/>
    </row>
    <row r="74" spans="1:8" ht="25.5">
      <c r="A74" s="426" t="s">
        <v>494</v>
      </c>
      <c r="B74" s="439" t="s">
        <v>106</v>
      </c>
      <c r="C74" s="337" t="s">
        <v>59</v>
      </c>
      <c r="D74" s="440">
        <v>2.9000000000000001E-2</v>
      </c>
      <c r="E74" s="206">
        <v>22.37</v>
      </c>
      <c r="F74" s="1903">
        <f>TRUNC((D74*E74),2)</f>
        <v>0.64</v>
      </c>
      <c r="H74" s="454"/>
    </row>
    <row r="75" spans="1:8">
      <c r="A75" s="1904"/>
      <c r="B75" s="1320"/>
      <c r="C75" s="337" t="s">
        <v>43</v>
      </c>
      <c r="D75" s="441" t="s">
        <v>43</v>
      </c>
      <c r="E75" s="442" t="s">
        <v>60</v>
      </c>
      <c r="F75" s="1905">
        <f>SUM(F73:F74)</f>
        <v>1.17</v>
      </c>
      <c r="H75" s="454"/>
    </row>
    <row r="76" spans="1:8" ht="25.5">
      <c r="A76" s="1904"/>
      <c r="B76" s="1906" t="s">
        <v>98</v>
      </c>
      <c r="C76" s="371" t="s">
        <v>51</v>
      </c>
      <c r="D76" s="443" t="s">
        <v>52</v>
      </c>
      <c r="E76" s="444" t="s">
        <v>64</v>
      </c>
      <c r="F76" s="1905" t="s">
        <v>54</v>
      </c>
      <c r="H76" s="454"/>
    </row>
    <row r="77" spans="1:8" ht="25.5">
      <c r="A77" s="426">
        <v>9875</v>
      </c>
      <c r="B77" s="439" t="s">
        <v>1889</v>
      </c>
      <c r="C77" s="337" t="s">
        <v>57</v>
      </c>
      <c r="D77" s="440">
        <v>1.0609999999999999</v>
      </c>
      <c r="E77" s="228">
        <v>17.45</v>
      </c>
      <c r="F77" s="1903">
        <f>TRUNC((D77*E77),2)</f>
        <v>18.510000000000002</v>
      </c>
      <c r="H77" s="454"/>
    </row>
    <row r="78" spans="1:8">
      <c r="A78" s="426">
        <v>38383</v>
      </c>
      <c r="B78" s="439" t="s">
        <v>177</v>
      </c>
      <c r="C78" s="337" t="s">
        <v>57</v>
      </c>
      <c r="D78" s="440">
        <v>0.01</v>
      </c>
      <c r="E78" s="100">
        <v>2.3199999999999998</v>
      </c>
      <c r="F78" s="1903">
        <f>TRUNC((D78*E78),2)</f>
        <v>0.02</v>
      </c>
    </row>
    <row r="79" spans="1:8" ht="15.75" thickBot="1">
      <c r="A79" s="210"/>
      <c r="B79" s="369"/>
      <c r="C79" s="1766"/>
      <c r="D79" s="448"/>
      <c r="E79" s="449" t="s">
        <v>60</v>
      </c>
      <c r="F79" s="410">
        <f>SUM(F77:F78)</f>
        <v>18.53</v>
      </c>
    </row>
    <row r="80" spans="1:8" ht="15.75" thickBot="1">
      <c r="A80" s="1377"/>
      <c r="B80" s="2108" t="s">
        <v>55</v>
      </c>
      <c r="C80" s="2108"/>
      <c r="D80" s="2108"/>
      <c r="E80" s="2108"/>
      <c r="F80" s="1378">
        <f>F75+F79</f>
        <v>19.700000000000003</v>
      </c>
    </row>
    <row r="81" spans="1:8" ht="15.75" thickBot="1"/>
    <row r="82" spans="1:8" ht="38.25">
      <c r="A82" s="424" t="s">
        <v>506</v>
      </c>
      <c r="B82" s="259" t="s">
        <v>276</v>
      </c>
      <c r="C82" s="433" t="s">
        <v>57</v>
      </c>
      <c r="D82" s="153"/>
      <c r="E82" s="154"/>
      <c r="F82" s="246"/>
      <c r="G82" s="431"/>
      <c r="H82" s="431"/>
    </row>
    <row r="83" spans="1:8">
      <c r="A83" s="2207" t="s">
        <v>512</v>
      </c>
      <c r="B83" s="2208"/>
      <c r="C83" s="2208"/>
      <c r="D83" s="2208"/>
      <c r="E83" s="2208"/>
      <c r="F83" s="2209"/>
    </row>
    <row r="84" spans="1:8" ht="25.5">
      <c r="A84" s="260"/>
      <c r="B84" s="434" t="s">
        <v>58</v>
      </c>
      <c r="C84" s="435" t="s">
        <v>51</v>
      </c>
      <c r="D84" s="436" t="s">
        <v>52</v>
      </c>
      <c r="E84" s="437" t="s">
        <v>64</v>
      </c>
      <c r="F84" s="438" t="s">
        <v>54</v>
      </c>
    </row>
    <row r="85" spans="1:8" ht="25.5">
      <c r="A85" s="426" t="s">
        <v>493</v>
      </c>
      <c r="B85" s="439" t="s">
        <v>105</v>
      </c>
      <c r="C85" s="337" t="s">
        <v>59</v>
      </c>
      <c r="D85" s="440">
        <v>7.1999999999999995E-2</v>
      </c>
      <c r="E85" s="206">
        <v>18.399999999999999</v>
      </c>
      <c r="F85" s="1903">
        <f>TRUNC((D85*E85),2)</f>
        <v>1.32</v>
      </c>
      <c r="H85" s="454"/>
    </row>
    <row r="86" spans="1:8" ht="25.5">
      <c r="A86" s="426" t="s">
        <v>494</v>
      </c>
      <c r="B86" s="439" t="s">
        <v>106</v>
      </c>
      <c r="C86" s="337" t="s">
        <v>59</v>
      </c>
      <c r="D86" s="440">
        <v>7.1999999999999995E-2</v>
      </c>
      <c r="E86" s="206">
        <v>22.37</v>
      </c>
      <c r="F86" s="1903">
        <f>TRUNC((D86*E86),2)</f>
        <v>1.61</v>
      </c>
      <c r="H86" s="454"/>
    </row>
    <row r="87" spans="1:8">
      <c r="A87" s="1904"/>
      <c r="B87" s="1320"/>
      <c r="C87" s="337" t="s">
        <v>43</v>
      </c>
      <c r="D87" s="441" t="s">
        <v>43</v>
      </c>
      <c r="E87" s="442" t="s">
        <v>60</v>
      </c>
      <c r="F87" s="1905">
        <f>SUM(F85:F86)</f>
        <v>2.93</v>
      </c>
      <c r="H87" s="454"/>
    </row>
    <row r="88" spans="1:8" ht="25.5">
      <c r="A88" s="1904"/>
      <c r="B88" s="1906" t="s">
        <v>98</v>
      </c>
      <c r="C88" s="371" t="s">
        <v>51</v>
      </c>
      <c r="D88" s="443" t="s">
        <v>52</v>
      </c>
      <c r="E88" s="444" t="s">
        <v>64</v>
      </c>
      <c r="F88" s="1905" t="s">
        <v>54</v>
      </c>
      <c r="H88" s="454"/>
    </row>
    <row r="89" spans="1:8" ht="25.5">
      <c r="A89" s="426">
        <v>112</v>
      </c>
      <c r="B89" s="401" t="s">
        <v>513</v>
      </c>
      <c r="C89" s="337" t="s">
        <v>57</v>
      </c>
      <c r="D89" s="440">
        <v>1</v>
      </c>
      <c r="E89" s="228">
        <v>5.54</v>
      </c>
      <c r="F89" s="1903">
        <f>TRUNC((D89*E89),2)</f>
        <v>5.54</v>
      </c>
      <c r="H89" s="454"/>
    </row>
    <row r="90" spans="1:8">
      <c r="A90" s="426">
        <v>122</v>
      </c>
      <c r="B90" s="401" t="s">
        <v>130</v>
      </c>
      <c r="C90" s="337" t="s">
        <v>57</v>
      </c>
      <c r="D90" s="440">
        <v>1.7999999999999999E-2</v>
      </c>
      <c r="E90" s="228">
        <v>76.86</v>
      </c>
      <c r="F90" s="1903">
        <f>TRUNC((D90*E90),2)</f>
        <v>1.38</v>
      </c>
      <c r="H90" s="454"/>
    </row>
    <row r="91" spans="1:8">
      <c r="A91" s="426">
        <v>20083</v>
      </c>
      <c r="B91" s="401" t="s">
        <v>131</v>
      </c>
      <c r="C91" s="337" t="s">
        <v>57</v>
      </c>
      <c r="D91" s="440">
        <v>2.1999999999999999E-2</v>
      </c>
      <c r="E91" s="228">
        <v>87.08</v>
      </c>
      <c r="F91" s="1903">
        <f>TRUNC((D91*E91),2)</f>
        <v>1.91</v>
      </c>
    </row>
    <row r="92" spans="1:8">
      <c r="A92" s="426">
        <v>38383</v>
      </c>
      <c r="B92" s="401" t="s">
        <v>177</v>
      </c>
      <c r="C92" s="337" t="s">
        <v>57</v>
      </c>
      <c r="D92" s="440">
        <v>2.4E-2</v>
      </c>
      <c r="E92" s="100">
        <v>2.3199999999999998</v>
      </c>
      <c r="F92" s="1903">
        <f>TRUNC((D92*E92),2)</f>
        <v>0.05</v>
      </c>
    </row>
    <row r="93" spans="1:8" ht="15.75" thickBot="1">
      <c r="A93" s="210"/>
      <c r="B93" s="369"/>
      <c r="C93" s="1766"/>
      <c r="D93" s="448"/>
      <c r="E93" s="449" t="s">
        <v>60</v>
      </c>
      <c r="F93" s="410">
        <f>SUM(F89:F92)</f>
        <v>8.8800000000000008</v>
      </c>
    </row>
    <row r="94" spans="1:8" ht="15.75" thickBot="1">
      <c r="A94" s="1377"/>
      <c r="B94" s="2108" t="s">
        <v>55</v>
      </c>
      <c r="C94" s="2108"/>
      <c r="D94" s="2108"/>
      <c r="E94" s="2108"/>
      <c r="F94" s="1378">
        <f>F87+F93</f>
        <v>11.81</v>
      </c>
    </row>
    <row r="95" spans="1:8" ht="15.75" thickBot="1"/>
    <row r="96" spans="1:8" ht="38.25">
      <c r="A96" s="424" t="s">
        <v>508</v>
      </c>
      <c r="B96" s="259" t="s">
        <v>277</v>
      </c>
      <c r="C96" s="433" t="s">
        <v>57</v>
      </c>
      <c r="D96" s="153"/>
      <c r="E96" s="154"/>
      <c r="F96" s="246"/>
      <c r="H96" s="431"/>
    </row>
    <row r="97" spans="1:9">
      <c r="A97" s="2207" t="s">
        <v>1883</v>
      </c>
      <c r="B97" s="2208"/>
      <c r="C97" s="2208"/>
      <c r="D97" s="2208"/>
      <c r="E97" s="2208"/>
      <c r="F97" s="2209"/>
    </row>
    <row r="98" spans="1:9" ht="25.5">
      <c r="A98" s="260"/>
      <c r="B98" s="434" t="s">
        <v>58</v>
      </c>
      <c r="C98" s="435" t="s">
        <v>51</v>
      </c>
      <c r="D98" s="436" t="s">
        <v>52</v>
      </c>
      <c r="E98" s="437" t="s">
        <v>64</v>
      </c>
      <c r="F98" s="438" t="s">
        <v>54</v>
      </c>
    </row>
    <row r="99" spans="1:9" ht="25.5">
      <c r="A99" s="426" t="s">
        <v>493</v>
      </c>
      <c r="B99" s="439" t="s">
        <v>105</v>
      </c>
      <c r="C99" s="337" t="s">
        <v>59</v>
      </c>
      <c r="D99" s="361">
        <v>4.4999999999999998E-2</v>
      </c>
      <c r="E99" s="206">
        <v>18.399999999999999</v>
      </c>
      <c r="F99" s="1903">
        <f>TRUNC((D99*E99),2)</f>
        <v>0.82</v>
      </c>
    </row>
    <row r="100" spans="1:9" ht="25.5">
      <c r="A100" s="426" t="s">
        <v>494</v>
      </c>
      <c r="B100" s="439" t="s">
        <v>106</v>
      </c>
      <c r="C100" s="337" t="s">
        <v>59</v>
      </c>
      <c r="D100" s="361">
        <v>4.4999999999999998E-2</v>
      </c>
      <c r="E100" s="206">
        <v>22.37</v>
      </c>
      <c r="F100" s="1903">
        <f>TRUNC((D100*E100),2)</f>
        <v>1</v>
      </c>
    </row>
    <row r="101" spans="1:9">
      <c r="A101" s="1904"/>
      <c r="B101" s="1320"/>
      <c r="C101" s="337" t="s">
        <v>43</v>
      </c>
      <c r="D101" s="441" t="s">
        <v>43</v>
      </c>
      <c r="E101" s="442" t="s">
        <v>60</v>
      </c>
      <c r="F101" s="1905">
        <f>SUM(F99:F100)</f>
        <v>1.8199999999999998</v>
      </c>
    </row>
    <row r="102" spans="1:9" ht="25.5">
      <c r="A102" s="1904"/>
      <c r="B102" s="1906" t="s">
        <v>98</v>
      </c>
      <c r="C102" s="371" t="s">
        <v>51</v>
      </c>
      <c r="D102" s="443" t="s">
        <v>52</v>
      </c>
      <c r="E102" s="444" t="s">
        <v>64</v>
      </c>
      <c r="F102" s="1905" t="s">
        <v>54</v>
      </c>
      <c r="H102" s="454"/>
      <c r="I102" s="454"/>
    </row>
    <row r="103" spans="1:9" ht="25.5">
      <c r="A103" s="426">
        <v>20085</v>
      </c>
      <c r="B103" s="208" t="s">
        <v>1882</v>
      </c>
      <c r="C103" s="337" t="s">
        <v>57</v>
      </c>
      <c r="D103" s="440">
        <v>1</v>
      </c>
      <c r="E103" s="228">
        <v>3.03</v>
      </c>
      <c r="F103" s="1903">
        <f>TRUNC((D103*E103),2)</f>
        <v>3.03</v>
      </c>
      <c r="H103" s="452"/>
      <c r="I103" s="885"/>
    </row>
    <row r="104" spans="1:9" ht="38.25">
      <c r="A104" s="426">
        <v>20078</v>
      </c>
      <c r="B104" s="208" t="s">
        <v>1881</v>
      </c>
      <c r="C104" s="337" t="s">
        <v>57</v>
      </c>
      <c r="D104" s="361">
        <v>0.02</v>
      </c>
      <c r="E104" s="228">
        <v>31.72</v>
      </c>
      <c r="F104" s="1903">
        <f>TRUNC((D104*E104),2)</f>
        <v>0.63</v>
      </c>
      <c r="H104" s="452"/>
      <c r="I104" s="885"/>
    </row>
    <row r="105" spans="1:9" ht="24.75" customHeight="1">
      <c r="A105" s="426">
        <v>813</v>
      </c>
      <c r="B105" s="208" t="s">
        <v>1884</v>
      </c>
      <c r="C105" s="337" t="s">
        <v>57</v>
      </c>
      <c r="D105" s="440">
        <v>1</v>
      </c>
      <c r="E105" s="100">
        <v>5.23</v>
      </c>
      <c r="F105" s="1903">
        <f>TRUNC((D105*E105),2)</f>
        <v>5.23</v>
      </c>
      <c r="H105" s="452"/>
      <c r="I105" s="885"/>
    </row>
    <row r="106" spans="1:9" ht="15.75" thickBot="1">
      <c r="A106" s="210"/>
      <c r="B106" s="369"/>
      <c r="C106" s="1766"/>
      <c r="D106" s="448"/>
      <c r="E106" s="449" t="s">
        <v>60</v>
      </c>
      <c r="F106" s="410">
        <f>SUM(F103:F105)</f>
        <v>8.89</v>
      </c>
      <c r="H106" s="452"/>
      <c r="I106" s="885"/>
    </row>
    <row r="107" spans="1:9" ht="15.75" thickBot="1">
      <c r="A107" s="192"/>
      <c r="B107" s="2250" t="s">
        <v>55</v>
      </c>
      <c r="C107" s="2250"/>
      <c r="D107" s="2250"/>
      <c r="E107" s="2250"/>
      <c r="F107" s="526">
        <f>F101+F106</f>
        <v>10.71</v>
      </c>
      <c r="H107" s="452"/>
      <c r="I107" s="885"/>
    </row>
    <row r="108" spans="1:9" ht="15.75" thickBot="1"/>
    <row r="109" spans="1:9" ht="25.5">
      <c r="A109" s="424" t="s">
        <v>510</v>
      </c>
      <c r="B109" s="259" t="s">
        <v>280</v>
      </c>
      <c r="C109" s="433" t="s">
        <v>57</v>
      </c>
      <c r="D109" s="153"/>
      <c r="E109" s="154"/>
      <c r="F109" s="246"/>
      <c r="G109" s="431"/>
      <c r="H109" s="431"/>
    </row>
    <row r="110" spans="1:9">
      <c r="A110" s="2207" t="s">
        <v>1888</v>
      </c>
      <c r="B110" s="2208"/>
      <c r="C110" s="2208"/>
      <c r="D110" s="2208"/>
      <c r="E110" s="2208"/>
      <c r="F110" s="2209"/>
    </row>
    <row r="111" spans="1:9" ht="25.5">
      <c r="A111" s="260"/>
      <c r="B111" s="434" t="s">
        <v>58</v>
      </c>
      <c r="C111" s="435" t="s">
        <v>51</v>
      </c>
      <c r="D111" s="436" t="s">
        <v>52</v>
      </c>
      <c r="E111" s="437" t="s">
        <v>64</v>
      </c>
      <c r="F111" s="438" t="s">
        <v>54</v>
      </c>
    </row>
    <row r="112" spans="1:9" ht="25.5">
      <c r="A112" s="426" t="s">
        <v>493</v>
      </c>
      <c r="B112" s="439" t="s">
        <v>105</v>
      </c>
      <c r="C112" s="337" t="s">
        <v>59</v>
      </c>
      <c r="D112" s="440">
        <v>0.20899999999999999</v>
      </c>
      <c r="E112" s="206">
        <v>18.399999999999999</v>
      </c>
      <c r="F112" s="1903">
        <f>TRUNC((D112*E112),2)</f>
        <v>3.84</v>
      </c>
    </row>
    <row r="113" spans="1:11" ht="25.5">
      <c r="A113" s="426" t="s">
        <v>494</v>
      </c>
      <c r="B113" s="439" t="s">
        <v>106</v>
      </c>
      <c r="C113" s="337" t="s">
        <v>59</v>
      </c>
      <c r="D113" s="440">
        <v>0.20899999999999999</v>
      </c>
      <c r="E113" s="206">
        <v>22.37</v>
      </c>
      <c r="F113" s="1903">
        <f>TRUNC((D113*E113),2)</f>
        <v>4.67</v>
      </c>
    </row>
    <row r="114" spans="1:11">
      <c r="A114" s="1904"/>
      <c r="B114" s="1320"/>
      <c r="C114" s="337" t="s">
        <v>43</v>
      </c>
      <c r="D114" s="441" t="s">
        <v>43</v>
      </c>
      <c r="E114" s="442" t="s">
        <v>60</v>
      </c>
      <c r="F114" s="1905">
        <f>SUM(F112:F113)</f>
        <v>8.51</v>
      </c>
    </row>
    <row r="115" spans="1:11" ht="25.5">
      <c r="A115" s="1904"/>
      <c r="B115" s="1906" t="s">
        <v>98</v>
      </c>
      <c r="C115" s="371" t="s">
        <v>51</v>
      </c>
      <c r="D115" s="443" t="s">
        <v>52</v>
      </c>
      <c r="E115" s="444" t="s">
        <v>64</v>
      </c>
      <c r="F115" s="1905" t="s">
        <v>54</v>
      </c>
      <c r="H115" s="454"/>
    </row>
    <row r="116" spans="1:11">
      <c r="A116" s="426">
        <v>122</v>
      </c>
      <c r="B116" s="401" t="s">
        <v>130</v>
      </c>
      <c r="C116" s="337" t="s">
        <v>57</v>
      </c>
      <c r="D116" s="440">
        <v>0.06</v>
      </c>
      <c r="E116" s="228">
        <v>76.86</v>
      </c>
      <c r="F116" s="1903">
        <f>TRUNC((D116*E116),2)</f>
        <v>4.6100000000000003</v>
      </c>
      <c r="H116" s="454"/>
    </row>
    <row r="117" spans="1:11" ht="25.5">
      <c r="A117" s="426">
        <v>7129</v>
      </c>
      <c r="B117" s="401" t="s">
        <v>517</v>
      </c>
      <c r="C117" s="337" t="s">
        <v>57</v>
      </c>
      <c r="D117" s="440">
        <v>1</v>
      </c>
      <c r="E117" s="228">
        <v>11.22</v>
      </c>
      <c r="F117" s="1903">
        <f>TRUNC((D117*E117),2)</f>
        <v>11.22</v>
      </c>
      <c r="H117" s="454"/>
    </row>
    <row r="118" spans="1:11">
      <c r="A118" s="426">
        <v>20083</v>
      </c>
      <c r="B118" s="401" t="s">
        <v>131</v>
      </c>
      <c r="C118" s="337" t="s">
        <v>57</v>
      </c>
      <c r="D118" s="440">
        <v>7.8E-2</v>
      </c>
      <c r="E118" s="228">
        <v>87.08</v>
      </c>
      <c r="F118" s="1903">
        <f>TRUNC((D118*E118),2)</f>
        <v>6.79</v>
      </c>
      <c r="H118" s="454"/>
    </row>
    <row r="119" spans="1:11">
      <c r="A119" s="426">
        <v>38383</v>
      </c>
      <c r="B119" s="401" t="s">
        <v>177</v>
      </c>
      <c r="C119" s="337" t="s">
        <v>57</v>
      </c>
      <c r="D119" s="440">
        <v>5.2999999999999999E-2</v>
      </c>
      <c r="E119" s="100">
        <v>2.3199999999999998</v>
      </c>
      <c r="F119" s="1903">
        <f>TRUNC((D119*E119),2)</f>
        <v>0.12</v>
      </c>
      <c r="H119" s="454"/>
    </row>
    <row r="120" spans="1:11" ht="15.75" thickBot="1">
      <c r="A120" s="210"/>
      <c r="B120" s="369"/>
      <c r="C120" s="1766"/>
      <c r="D120" s="448"/>
      <c r="E120" s="449" t="s">
        <v>60</v>
      </c>
      <c r="F120" s="410">
        <f>SUM(F116:F119)</f>
        <v>22.740000000000002</v>
      </c>
      <c r="H120" s="454"/>
    </row>
    <row r="121" spans="1:11" ht="15.75" thickBot="1">
      <c r="A121" s="1377"/>
      <c r="B121" s="2108" t="s">
        <v>55</v>
      </c>
      <c r="C121" s="2108"/>
      <c r="D121" s="2108"/>
      <c r="E121" s="2108"/>
      <c r="F121" s="1378">
        <f>F114+F120</f>
        <v>31.25</v>
      </c>
      <c r="H121" s="454"/>
    </row>
    <row r="122" spans="1:11" ht="15.75" thickBot="1">
      <c r="I122" s="379"/>
      <c r="J122" s="379"/>
      <c r="K122" s="379"/>
    </row>
    <row r="123" spans="1:11" ht="26.25" customHeight="1">
      <c r="A123" s="424" t="s">
        <v>511</v>
      </c>
      <c r="B123" s="259" t="s">
        <v>527</v>
      </c>
      <c r="C123" s="433" t="s">
        <v>57</v>
      </c>
      <c r="D123" s="153"/>
      <c r="E123" s="154"/>
      <c r="F123" s="246"/>
      <c r="H123" s="431"/>
      <c r="I123" s="880"/>
      <c r="J123" s="880"/>
      <c r="K123" s="880"/>
    </row>
    <row r="124" spans="1:11" ht="15" customHeight="1">
      <c r="A124" s="2207" t="s">
        <v>504</v>
      </c>
      <c r="B124" s="2208"/>
      <c r="C124" s="2208"/>
      <c r="D124" s="2208"/>
      <c r="E124" s="2208"/>
      <c r="F124" s="2209"/>
      <c r="I124" s="880"/>
      <c r="J124" s="880"/>
      <c r="K124" s="880"/>
    </row>
    <row r="125" spans="1:11" ht="25.5">
      <c r="A125" s="260"/>
      <c r="B125" s="434" t="s">
        <v>58</v>
      </c>
      <c r="C125" s="435" t="s">
        <v>51</v>
      </c>
      <c r="D125" s="436" t="s">
        <v>52</v>
      </c>
      <c r="E125" s="437" t="s">
        <v>64</v>
      </c>
      <c r="F125" s="438" t="s">
        <v>54</v>
      </c>
      <c r="I125" s="880"/>
      <c r="J125" s="880"/>
      <c r="K125" s="880"/>
    </row>
    <row r="126" spans="1:11" ht="25.5">
      <c r="A126" s="426" t="s">
        <v>493</v>
      </c>
      <c r="B126" s="439" t="s">
        <v>105</v>
      </c>
      <c r="C126" s="337" t="s">
        <v>59</v>
      </c>
      <c r="D126" s="458">
        <v>0.20899999999999999</v>
      </c>
      <c r="E126" s="206">
        <v>18.399999999999999</v>
      </c>
      <c r="F126" s="1903">
        <f>TRUNC((D126*E126),2)</f>
        <v>3.84</v>
      </c>
      <c r="I126" s="379"/>
      <c r="J126" s="379"/>
      <c r="K126" s="379"/>
    </row>
    <row r="127" spans="1:11" ht="25.5">
      <c r="A127" s="426" t="s">
        <v>494</v>
      </c>
      <c r="B127" s="439" t="s">
        <v>106</v>
      </c>
      <c r="C127" s="337" t="s">
        <v>59</v>
      </c>
      <c r="D127" s="458">
        <v>0.20899999999999999</v>
      </c>
      <c r="E127" s="206">
        <v>22.37</v>
      </c>
      <c r="F127" s="1903">
        <f>TRUNC((D127*E127),2)</f>
        <v>4.67</v>
      </c>
    </row>
    <row r="128" spans="1:11">
      <c r="A128" s="1904"/>
      <c r="B128" s="1320"/>
      <c r="C128" s="337" t="s">
        <v>43</v>
      </c>
      <c r="D128" s="441" t="s">
        <v>43</v>
      </c>
      <c r="E128" s="442" t="s">
        <v>60</v>
      </c>
      <c r="F128" s="1905">
        <f>SUM(F126:F127)</f>
        <v>8.51</v>
      </c>
      <c r="H128" s="885"/>
      <c r="I128" s="452"/>
      <c r="J128" s="452"/>
    </row>
    <row r="129" spans="1:10" ht="25.5">
      <c r="A129" s="1904"/>
      <c r="B129" s="1906" t="s">
        <v>98</v>
      </c>
      <c r="C129" s="371" t="s">
        <v>51</v>
      </c>
      <c r="D129" s="443" t="s">
        <v>52</v>
      </c>
      <c r="E129" s="444" t="s">
        <v>64</v>
      </c>
      <c r="F129" s="1905" t="s">
        <v>54</v>
      </c>
      <c r="H129" s="885"/>
      <c r="I129" s="452"/>
      <c r="J129" s="452"/>
    </row>
    <row r="130" spans="1:10" ht="25.5">
      <c r="A130" s="426">
        <v>7142</v>
      </c>
      <c r="B130" s="401" t="s">
        <v>528</v>
      </c>
      <c r="C130" s="337" t="s">
        <v>57</v>
      </c>
      <c r="D130" s="440">
        <v>1</v>
      </c>
      <c r="E130" s="228">
        <v>12.68</v>
      </c>
      <c r="F130" s="1903">
        <f>TRUNC((D130*E130),2)</f>
        <v>12.68</v>
      </c>
      <c r="H130" s="885"/>
      <c r="I130" s="452"/>
      <c r="J130" s="452"/>
    </row>
    <row r="131" spans="1:10">
      <c r="A131" s="426">
        <v>122</v>
      </c>
      <c r="B131" s="401" t="s">
        <v>130</v>
      </c>
      <c r="C131" s="337" t="s">
        <v>57</v>
      </c>
      <c r="D131" s="361">
        <v>0.06</v>
      </c>
      <c r="E131" s="228">
        <v>76.86</v>
      </c>
      <c r="F131" s="1903">
        <f>TRUNC((D131*E131),2)</f>
        <v>4.6100000000000003</v>
      </c>
      <c r="H131" s="885"/>
      <c r="I131" s="452"/>
      <c r="J131" s="452"/>
    </row>
    <row r="132" spans="1:10">
      <c r="A132" s="426">
        <v>20083</v>
      </c>
      <c r="B132" s="401" t="s">
        <v>131</v>
      </c>
      <c r="C132" s="337" t="s">
        <v>57</v>
      </c>
      <c r="D132" s="361">
        <v>7.8E-2</v>
      </c>
      <c r="E132" s="228">
        <v>87.08</v>
      </c>
      <c r="F132" s="1903">
        <f>TRUNC((D132*E132),2)</f>
        <v>6.79</v>
      </c>
      <c r="H132" s="885"/>
      <c r="I132" s="452"/>
      <c r="J132" s="452"/>
    </row>
    <row r="133" spans="1:10">
      <c r="A133" s="426">
        <v>38383</v>
      </c>
      <c r="B133" s="401" t="s">
        <v>177</v>
      </c>
      <c r="C133" s="337" t="s">
        <v>57</v>
      </c>
      <c r="D133" s="361">
        <v>5.2999999999999999E-2</v>
      </c>
      <c r="E133" s="100">
        <v>2.3199999999999998</v>
      </c>
      <c r="F133" s="1903">
        <f>TRUNC((D133*E133),2)</f>
        <v>0.12</v>
      </c>
      <c r="H133" s="885"/>
      <c r="I133" s="452"/>
      <c r="J133" s="452"/>
    </row>
    <row r="134" spans="1:10" ht="15.75" thickBot="1">
      <c r="A134" s="210"/>
      <c r="B134" s="369"/>
      <c r="C134" s="1766"/>
      <c r="D134" s="448"/>
      <c r="E134" s="449" t="s">
        <v>60</v>
      </c>
      <c r="F134" s="410">
        <f>SUM(F130:F133)</f>
        <v>24.2</v>
      </c>
    </row>
    <row r="135" spans="1:10" ht="15.75" thickBot="1">
      <c r="A135" s="1377"/>
      <c r="B135" s="2108" t="s">
        <v>55</v>
      </c>
      <c r="C135" s="2108"/>
      <c r="D135" s="2108"/>
      <c r="E135" s="2108"/>
      <c r="F135" s="1378">
        <f>F128+F134</f>
        <v>32.71</v>
      </c>
    </row>
    <row r="136" spans="1:10" ht="15.75" thickBot="1"/>
    <row r="137" spans="1:10" ht="41.25" customHeight="1">
      <c r="A137" s="424" t="s">
        <v>514</v>
      </c>
      <c r="B137" s="259" t="s">
        <v>1887</v>
      </c>
      <c r="C137" s="433" t="s">
        <v>57</v>
      </c>
      <c r="D137" s="153"/>
      <c r="E137" s="154"/>
      <c r="F137" s="246"/>
      <c r="G137" s="431"/>
      <c r="H137" s="431"/>
    </row>
    <row r="138" spans="1:10">
      <c r="A138" s="2207" t="s">
        <v>1886</v>
      </c>
      <c r="B138" s="2208"/>
      <c r="C138" s="2208"/>
      <c r="D138" s="2208"/>
      <c r="E138" s="2208"/>
      <c r="F138" s="2209"/>
    </row>
    <row r="139" spans="1:10" ht="25.5">
      <c r="A139" s="260"/>
      <c r="B139" s="434" t="s">
        <v>58</v>
      </c>
      <c r="C139" s="435" t="s">
        <v>51</v>
      </c>
      <c r="D139" s="436" t="s">
        <v>52</v>
      </c>
      <c r="E139" s="437" t="s">
        <v>64</v>
      </c>
      <c r="F139" s="438" t="s">
        <v>54</v>
      </c>
    </row>
    <row r="140" spans="1:10" ht="25.5">
      <c r="A140" s="426" t="s">
        <v>493</v>
      </c>
      <c r="B140" s="439" t="s">
        <v>105</v>
      </c>
      <c r="C140" s="337" t="s">
        <v>59</v>
      </c>
      <c r="D140" s="440">
        <v>0.5</v>
      </c>
      <c r="E140" s="206">
        <v>18.399999999999999</v>
      </c>
      <c r="F140" s="1903">
        <f>TRUNC((D140*E140),2)</f>
        <v>9.1999999999999993</v>
      </c>
    </row>
    <row r="141" spans="1:10" ht="25.5">
      <c r="A141" s="426" t="s">
        <v>494</v>
      </c>
      <c r="B141" s="439" t="s">
        <v>106</v>
      </c>
      <c r="C141" s="337" t="s">
        <v>59</v>
      </c>
      <c r="D141" s="440">
        <v>0.5</v>
      </c>
      <c r="E141" s="206">
        <v>22.37</v>
      </c>
      <c r="F141" s="1903">
        <f>TRUNC((D141*E141),2)</f>
        <v>11.18</v>
      </c>
    </row>
    <row r="142" spans="1:10">
      <c r="A142" s="391">
        <v>88309</v>
      </c>
      <c r="B142" s="1404" t="s">
        <v>107</v>
      </c>
      <c r="C142" s="337" t="s">
        <v>59</v>
      </c>
      <c r="D142" s="440">
        <v>1</v>
      </c>
      <c r="E142" s="228">
        <v>22.41</v>
      </c>
      <c r="F142" s="1903">
        <f>TRUNC((D142*E142),2)</f>
        <v>22.41</v>
      </c>
    </row>
    <row r="143" spans="1:10">
      <c r="A143" s="1312">
        <v>88316</v>
      </c>
      <c r="B143" s="763" t="s">
        <v>68</v>
      </c>
      <c r="C143" s="337" t="s">
        <v>59</v>
      </c>
      <c r="D143" s="440">
        <v>1</v>
      </c>
      <c r="E143" s="228">
        <v>17.82</v>
      </c>
      <c r="F143" s="1903">
        <f>TRUNC((D143*E143),2)</f>
        <v>17.82</v>
      </c>
    </row>
    <row r="144" spans="1:10">
      <c r="A144" s="1904"/>
      <c r="B144" s="1320"/>
      <c r="C144" s="337" t="s">
        <v>43</v>
      </c>
      <c r="D144" s="441" t="s">
        <v>43</v>
      </c>
      <c r="E144" s="442" t="s">
        <v>60</v>
      </c>
      <c r="F144" s="1905">
        <f>SUM(F140:F143)</f>
        <v>60.61</v>
      </c>
      <c r="H144" s="454"/>
    </row>
    <row r="145" spans="1:8" ht="25.5">
      <c r="A145" s="1904"/>
      <c r="B145" s="1906" t="s">
        <v>98</v>
      </c>
      <c r="C145" s="371" t="s">
        <v>51</v>
      </c>
      <c r="D145" s="443" t="s">
        <v>52</v>
      </c>
      <c r="E145" s="444" t="s">
        <v>64</v>
      </c>
      <c r="F145" s="1905" t="s">
        <v>54</v>
      </c>
      <c r="H145" s="454"/>
    </row>
    <row r="146" spans="1:8" ht="38.25">
      <c r="A146" s="426">
        <v>11694</v>
      </c>
      <c r="B146" s="208" t="s">
        <v>1885</v>
      </c>
      <c r="C146" s="337" t="s">
        <v>57</v>
      </c>
      <c r="D146" s="440">
        <v>1</v>
      </c>
      <c r="E146" s="228">
        <v>1104.1500000000001</v>
      </c>
      <c r="F146" s="1903">
        <f>TRUNC((D146*E146),2)</f>
        <v>1104.1500000000001</v>
      </c>
      <c r="H146" s="454"/>
    </row>
    <row r="147" spans="1:8" ht="15.75" thickBot="1">
      <c r="A147" s="210"/>
      <c r="B147" s="369"/>
      <c r="C147" s="1766"/>
      <c r="D147" s="448"/>
      <c r="E147" s="449" t="s">
        <v>60</v>
      </c>
      <c r="F147" s="410">
        <f>SUM(F146:F146)</f>
        <v>1104.1500000000001</v>
      </c>
      <c r="H147" s="454"/>
    </row>
    <row r="148" spans="1:8" ht="15.75" thickBot="1">
      <c r="A148" s="1377"/>
      <c r="B148" s="2108" t="s">
        <v>55</v>
      </c>
      <c r="C148" s="2108"/>
      <c r="D148" s="2108"/>
      <c r="E148" s="2108"/>
      <c r="F148" s="1378">
        <f>F144+F147</f>
        <v>1164.76</v>
      </c>
    </row>
    <row r="149" spans="1:8" ht="15.75" thickBot="1"/>
    <row r="150" spans="1:8" ht="28.5" customHeight="1">
      <c r="A150" s="424" t="s">
        <v>515</v>
      </c>
      <c r="B150" s="259" t="s">
        <v>1909</v>
      </c>
      <c r="C150" s="433" t="s">
        <v>57</v>
      </c>
      <c r="D150" s="153"/>
      <c r="E150" s="154"/>
      <c r="F150" s="246"/>
      <c r="G150" s="431"/>
      <c r="H150" s="431"/>
    </row>
    <row r="151" spans="1:8">
      <c r="A151" s="2207" t="s">
        <v>1910</v>
      </c>
      <c r="B151" s="2208"/>
      <c r="C151" s="2208"/>
      <c r="D151" s="2208"/>
      <c r="E151" s="2208"/>
      <c r="F151" s="2209"/>
    </row>
    <row r="152" spans="1:8" ht="25.5">
      <c r="A152" s="260"/>
      <c r="B152" s="434" t="s">
        <v>58</v>
      </c>
      <c r="C152" s="435" t="s">
        <v>51</v>
      </c>
      <c r="D152" s="436" t="s">
        <v>52</v>
      </c>
      <c r="E152" s="437" t="s">
        <v>64</v>
      </c>
      <c r="F152" s="438" t="s">
        <v>54</v>
      </c>
    </row>
    <row r="153" spans="1:8" ht="25.5">
      <c r="A153" s="426" t="s">
        <v>493</v>
      </c>
      <c r="B153" s="439" t="s">
        <v>105</v>
      </c>
      <c r="C153" s="337" t="s">
        <v>59</v>
      </c>
      <c r="D153" s="440">
        <v>0.4</v>
      </c>
      <c r="E153" s="206">
        <v>18.399999999999999</v>
      </c>
      <c r="F153" s="1903">
        <f>TRUNC((D153*E153),2)</f>
        <v>7.36</v>
      </c>
    </row>
    <row r="154" spans="1:8" ht="25.5">
      <c r="A154" s="426" t="s">
        <v>494</v>
      </c>
      <c r="B154" s="439" t="s">
        <v>106</v>
      </c>
      <c r="C154" s="337" t="s">
        <v>59</v>
      </c>
      <c r="D154" s="440">
        <v>0.4</v>
      </c>
      <c r="E154" s="206">
        <v>22.37</v>
      </c>
      <c r="F154" s="1903">
        <f>TRUNC((D154*E154),2)</f>
        <v>8.94</v>
      </c>
    </row>
    <row r="155" spans="1:8">
      <c r="A155" s="1904"/>
      <c r="B155" s="1320"/>
      <c r="C155" s="337" t="s">
        <v>43</v>
      </c>
      <c r="D155" s="441" t="s">
        <v>43</v>
      </c>
      <c r="E155" s="442" t="s">
        <v>60</v>
      </c>
      <c r="F155" s="1905">
        <f>SUM(F153:F154)</f>
        <v>16.3</v>
      </c>
    </row>
    <row r="156" spans="1:8" ht="25.5">
      <c r="A156" s="1904"/>
      <c r="B156" s="1906" t="s">
        <v>98</v>
      </c>
      <c r="C156" s="371" t="s">
        <v>51</v>
      </c>
      <c r="D156" s="443" t="s">
        <v>52</v>
      </c>
      <c r="E156" s="444" t="s">
        <v>64</v>
      </c>
      <c r="F156" s="1905" t="s">
        <v>54</v>
      </c>
    </row>
    <row r="157" spans="1:8" ht="30.75" customHeight="1" thickBot="1">
      <c r="A157" s="1918">
        <v>6142</v>
      </c>
      <c r="B157" s="1380" t="s">
        <v>1911</v>
      </c>
      <c r="C157" s="1911" t="s">
        <v>57</v>
      </c>
      <c r="D157" s="1919">
        <v>1</v>
      </c>
      <c r="E157" s="1369">
        <v>9.4499999999999993</v>
      </c>
      <c r="F157" s="1913">
        <f>TRUNC((D157*E157),2)</f>
        <v>9.4499999999999993</v>
      </c>
    </row>
    <row r="158" spans="1:8" ht="15.75" thickBot="1">
      <c r="A158" s="1920"/>
      <c r="B158" s="1921"/>
      <c r="C158" s="1767"/>
      <c r="D158" s="1922"/>
      <c r="E158" s="1923" t="s">
        <v>60</v>
      </c>
      <c r="F158" s="1924">
        <f>SUM(F157:F157)</f>
        <v>9.4499999999999993</v>
      </c>
    </row>
    <row r="159" spans="1:8" ht="15.75" thickBot="1">
      <c r="A159" s="1377"/>
      <c r="B159" s="2108" t="s">
        <v>55</v>
      </c>
      <c r="C159" s="2108"/>
      <c r="D159" s="2108"/>
      <c r="E159" s="2108"/>
      <c r="F159" s="1378">
        <f>F155+F158</f>
        <v>25.75</v>
      </c>
    </row>
    <row r="160" spans="1:8" ht="15.75" thickBot="1"/>
    <row r="161" spans="1:8" ht="18.75" customHeight="1">
      <c r="A161" s="424" t="s">
        <v>516</v>
      </c>
      <c r="B161" s="511" t="s">
        <v>1906</v>
      </c>
      <c r="C161" s="433" t="s">
        <v>57</v>
      </c>
      <c r="D161" s="153"/>
      <c r="E161" s="154"/>
      <c r="F161" s="246"/>
      <c r="G161" s="431"/>
      <c r="H161" s="431"/>
    </row>
    <row r="162" spans="1:8">
      <c r="A162" s="2207" t="s">
        <v>1908</v>
      </c>
      <c r="B162" s="2208"/>
      <c r="C162" s="2208"/>
      <c r="D162" s="2208"/>
      <c r="E162" s="2208"/>
      <c r="F162" s="2209"/>
    </row>
    <row r="163" spans="1:8" ht="25.5">
      <c r="A163" s="260"/>
      <c r="B163" s="434" t="s">
        <v>58</v>
      </c>
      <c r="C163" s="435" t="s">
        <v>51</v>
      </c>
      <c r="D163" s="436" t="s">
        <v>52</v>
      </c>
      <c r="E163" s="437" t="s">
        <v>64</v>
      </c>
      <c r="F163" s="438" t="s">
        <v>54</v>
      </c>
    </row>
    <row r="164" spans="1:8" ht="25.5">
      <c r="A164" s="426" t="s">
        <v>493</v>
      </c>
      <c r="B164" s="439" t="s">
        <v>105</v>
      </c>
      <c r="C164" s="337" t="s">
        <v>59</v>
      </c>
      <c r="D164" s="440">
        <v>0.5</v>
      </c>
      <c r="E164" s="206">
        <v>18.399999999999999</v>
      </c>
      <c r="F164" s="1903">
        <f>TRUNC((D164*E164),2)</f>
        <v>9.1999999999999993</v>
      </c>
    </row>
    <row r="165" spans="1:8" ht="25.5">
      <c r="A165" s="426" t="s">
        <v>494</v>
      </c>
      <c r="B165" s="439" t="s">
        <v>106</v>
      </c>
      <c r="C165" s="337" t="s">
        <v>59</v>
      </c>
      <c r="D165" s="440">
        <v>0.5</v>
      </c>
      <c r="E165" s="206">
        <v>22.37</v>
      </c>
      <c r="F165" s="1903">
        <f>TRUNC((D165*E165),2)</f>
        <v>11.18</v>
      </c>
    </row>
    <row r="166" spans="1:8">
      <c r="A166" s="1904"/>
      <c r="B166" s="1320"/>
      <c r="C166" s="337" t="s">
        <v>43</v>
      </c>
      <c r="D166" s="441" t="s">
        <v>43</v>
      </c>
      <c r="E166" s="442" t="s">
        <v>60</v>
      </c>
      <c r="F166" s="1905">
        <f>SUM(F164:F165)</f>
        <v>20.38</v>
      </c>
    </row>
    <row r="167" spans="1:8" ht="25.5">
      <c r="A167" s="1904"/>
      <c r="B167" s="1906" t="s">
        <v>98</v>
      </c>
      <c r="C167" s="371" t="s">
        <v>51</v>
      </c>
      <c r="D167" s="443" t="s">
        <v>52</v>
      </c>
      <c r="E167" s="444" t="s">
        <v>64</v>
      </c>
      <c r="F167" s="1905" t="s">
        <v>54</v>
      </c>
      <c r="H167" s="454"/>
    </row>
    <row r="168" spans="1:8">
      <c r="A168" s="426">
        <v>1370</v>
      </c>
      <c r="B168" s="208" t="s">
        <v>1906</v>
      </c>
      <c r="C168" s="337" t="s">
        <v>57</v>
      </c>
      <c r="D168" s="440">
        <v>1</v>
      </c>
      <c r="E168" s="228">
        <v>105.47</v>
      </c>
      <c r="F168" s="1903">
        <f>TRUNC((D168*E168),2)</f>
        <v>105.47</v>
      </c>
      <c r="H168" s="454"/>
    </row>
    <row r="169" spans="1:8" ht="15.75" customHeight="1">
      <c r="A169" s="426">
        <v>37459</v>
      </c>
      <c r="B169" s="1802" t="s">
        <v>1907</v>
      </c>
      <c r="C169" s="337" t="s">
        <v>56</v>
      </c>
      <c r="D169" s="455">
        <v>0.28000000000000003</v>
      </c>
      <c r="E169" s="228">
        <v>8.23</v>
      </c>
      <c r="F169" s="1903">
        <f>TRUNC((D169*E169),2)</f>
        <v>2.2999999999999998</v>
      </c>
      <c r="H169" s="454"/>
    </row>
    <row r="170" spans="1:8" ht="15.75" thickBot="1">
      <c r="A170" s="210"/>
      <c r="B170" s="369"/>
      <c r="C170" s="1766"/>
      <c r="D170" s="448"/>
      <c r="E170" s="449"/>
      <c r="F170" s="410">
        <f>SUM(F168:F169)</f>
        <v>107.77</v>
      </c>
      <c r="H170" s="454"/>
    </row>
    <row r="171" spans="1:8" ht="15.75" thickBot="1">
      <c r="A171" s="1377"/>
      <c r="B171" s="2108" t="s">
        <v>55</v>
      </c>
      <c r="C171" s="2108"/>
      <c r="D171" s="2108"/>
      <c r="E171" s="2108"/>
      <c r="F171" s="1378">
        <f>F166+F170</f>
        <v>128.15</v>
      </c>
    </row>
    <row r="172" spans="1:8" ht="15.75" thickBot="1"/>
    <row r="173" spans="1:8" ht="38.25">
      <c r="A173" s="424" t="s">
        <v>518</v>
      </c>
      <c r="B173" s="259" t="s">
        <v>287</v>
      </c>
      <c r="C173" s="433" t="s">
        <v>57</v>
      </c>
      <c r="D173" s="153"/>
      <c r="E173" s="154"/>
      <c r="F173" s="246"/>
      <c r="G173" s="431"/>
      <c r="H173" s="463" t="s">
        <v>2272</v>
      </c>
    </row>
    <row r="174" spans="1:8" ht="15" customHeight="1">
      <c r="A174" s="2207" t="s">
        <v>2065</v>
      </c>
      <c r="B174" s="2208"/>
      <c r="C174" s="2208"/>
      <c r="D174" s="2208"/>
      <c r="E174" s="2208"/>
      <c r="F174" s="2209"/>
    </row>
    <row r="175" spans="1:8" ht="25.5">
      <c r="A175" s="260"/>
      <c r="B175" s="434" t="s">
        <v>58</v>
      </c>
      <c r="C175" s="435" t="s">
        <v>51</v>
      </c>
      <c r="D175" s="436" t="s">
        <v>52</v>
      </c>
      <c r="E175" s="437" t="s">
        <v>64</v>
      </c>
      <c r="F175" s="438" t="s">
        <v>54</v>
      </c>
    </row>
    <row r="176" spans="1:8" ht="25.5">
      <c r="A176" s="426" t="s">
        <v>493</v>
      </c>
      <c r="B176" s="439" t="s">
        <v>105</v>
      </c>
      <c r="C176" s="337" t="s">
        <v>59</v>
      </c>
      <c r="D176" s="440">
        <v>0.25</v>
      </c>
      <c r="E176" s="206">
        <v>18.399999999999999</v>
      </c>
      <c r="F176" s="1903">
        <f>TRUNC((D176*E176),2)</f>
        <v>4.5999999999999996</v>
      </c>
    </row>
    <row r="177" spans="1:8" ht="25.5">
      <c r="A177" s="426" t="s">
        <v>494</v>
      </c>
      <c r="B177" s="439" t="s">
        <v>106</v>
      </c>
      <c r="C177" s="337" t="s">
        <v>59</v>
      </c>
      <c r="D177" s="440">
        <v>0.25</v>
      </c>
      <c r="E177" s="206">
        <v>22.37</v>
      </c>
      <c r="F177" s="1903">
        <f>TRUNC((D177*E177),2)</f>
        <v>5.59</v>
      </c>
    </row>
    <row r="178" spans="1:8">
      <c r="A178" s="1904"/>
      <c r="B178" s="1320"/>
      <c r="C178" s="337" t="s">
        <v>43</v>
      </c>
      <c r="D178" s="441" t="s">
        <v>43</v>
      </c>
      <c r="E178" s="442" t="s">
        <v>60</v>
      </c>
      <c r="F178" s="1905">
        <f>SUM(F176:F177)</f>
        <v>10.19</v>
      </c>
    </row>
    <row r="179" spans="1:8" ht="25.5">
      <c r="A179" s="1904"/>
      <c r="B179" s="1906" t="s">
        <v>98</v>
      </c>
      <c r="C179" s="371" t="s">
        <v>51</v>
      </c>
      <c r="D179" s="443" t="s">
        <v>52</v>
      </c>
      <c r="E179" s="444" t="s">
        <v>64</v>
      </c>
      <c r="F179" s="1905" t="s">
        <v>54</v>
      </c>
      <c r="H179" s="454"/>
    </row>
    <row r="180" spans="1:8">
      <c r="A180" s="426">
        <v>122</v>
      </c>
      <c r="B180" s="401" t="s">
        <v>130</v>
      </c>
      <c r="C180" s="337" t="s">
        <v>57</v>
      </c>
      <c r="D180" s="455">
        <v>1.4800000000000001E-2</v>
      </c>
      <c r="E180" s="228">
        <v>76.86</v>
      </c>
      <c r="F180" s="1903">
        <f t="shared" ref="F180:F185" si="0">TRUNC((D180*E180),2)</f>
        <v>1.1299999999999999</v>
      </c>
      <c r="H180" s="454"/>
    </row>
    <row r="181" spans="1:8" ht="25.5">
      <c r="A181" s="426">
        <v>296</v>
      </c>
      <c r="B181" s="401" t="s">
        <v>519</v>
      </c>
      <c r="C181" s="337" t="s">
        <v>57</v>
      </c>
      <c r="D181" s="440">
        <v>1</v>
      </c>
      <c r="E181" s="228">
        <v>2.31</v>
      </c>
      <c r="F181" s="1903">
        <f t="shared" si="0"/>
        <v>2.31</v>
      </c>
      <c r="H181" s="454"/>
    </row>
    <row r="182" spans="1:8" ht="25.5">
      <c r="A182" s="426">
        <v>11712</v>
      </c>
      <c r="B182" s="401" t="s">
        <v>2063</v>
      </c>
      <c r="C182" s="337" t="s">
        <v>57</v>
      </c>
      <c r="D182" s="440">
        <v>1</v>
      </c>
      <c r="E182" s="228">
        <v>42.49</v>
      </c>
      <c r="F182" s="1903">
        <f t="shared" si="0"/>
        <v>42.49</v>
      </c>
      <c r="H182" s="454"/>
    </row>
    <row r="183" spans="1:8" ht="38.25">
      <c r="A183" s="426">
        <v>20078</v>
      </c>
      <c r="B183" s="401" t="s">
        <v>2064</v>
      </c>
      <c r="C183" s="337" t="s">
        <v>57</v>
      </c>
      <c r="D183" s="440">
        <v>0.02</v>
      </c>
      <c r="E183" s="228">
        <v>31.72</v>
      </c>
      <c r="F183" s="1903">
        <f t="shared" si="0"/>
        <v>0.63</v>
      </c>
      <c r="H183" s="927"/>
    </row>
    <row r="184" spans="1:8">
      <c r="A184" s="426">
        <v>20083</v>
      </c>
      <c r="B184" s="401" t="s">
        <v>131</v>
      </c>
      <c r="C184" s="337" t="s">
        <v>57</v>
      </c>
      <c r="D184" s="455">
        <v>2.2499999999999999E-2</v>
      </c>
      <c r="E184" s="228">
        <v>87.08</v>
      </c>
      <c r="F184" s="1903">
        <f t="shared" si="0"/>
        <v>1.95</v>
      </c>
      <c r="H184" s="927"/>
    </row>
    <row r="185" spans="1:8">
      <c r="A185" s="426">
        <v>38383</v>
      </c>
      <c r="B185" s="401" t="s">
        <v>177</v>
      </c>
      <c r="C185" s="337" t="s">
        <v>57</v>
      </c>
      <c r="D185" s="440">
        <v>6.4000000000000001E-2</v>
      </c>
      <c r="E185" s="100">
        <v>2.3199999999999998</v>
      </c>
      <c r="F185" s="1903">
        <f t="shared" si="0"/>
        <v>0.14000000000000001</v>
      </c>
      <c r="H185" s="928"/>
    </row>
    <row r="186" spans="1:8" ht="15.75" thickBot="1">
      <c r="A186" s="210"/>
      <c r="B186" s="369"/>
      <c r="C186" s="1766"/>
      <c r="D186" s="448"/>
      <c r="E186" s="449" t="s">
        <v>60</v>
      </c>
      <c r="F186" s="926">
        <f>SUM(F180:F185)</f>
        <v>48.650000000000006</v>
      </c>
      <c r="H186" s="454"/>
    </row>
    <row r="187" spans="1:8" ht="15.75" thickBot="1">
      <c r="A187" s="1377"/>
      <c r="B187" s="2108" t="s">
        <v>55</v>
      </c>
      <c r="C187" s="2108"/>
      <c r="D187" s="2108"/>
      <c r="E187" s="2108"/>
      <c r="F187" s="1378">
        <f>F178+F186</f>
        <v>58.84</v>
      </c>
    </row>
    <row r="188" spans="1:8" ht="15.75" thickBot="1"/>
    <row r="189" spans="1:8">
      <c r="A189" s="424" t="s">
        <v>2081</v>
      </c>
      <c r="B189" s="259" t="s">
        <v>2082</v>
      </c>
      <c r="C189" s="433" t="s">
        <v>57</v>
      </c>
      <c r="D189" s="153"/>
      <c r="E189" s="154"/>
      <c r="F189" s="246"/>
    </row>
    <row r="190" spans="1:8" ht="15" customHeight="1">
      <c r="A190" s="2207" t="s">
        <v>2083</v>
      </c>
      <c r="B190" s="2208"/>
      <c r="C190" s="2208"/>
      <c r="D190" s="2208"/>
      <c r="E190" s="2208"/>
      <c r="F190" s="2209"/>
    </row>
    <row r="191" spans="1:8" ht="25.5">
      <c r="A191" s="260"/>
      <c r="B191" s="434" t="s">
        <v>58</v>
      </c>
      <c r="C191" s="435" t="s">
        <v>51</v>
      </c>
      <c r="D191" s="436" t="s">
        <v>52</v>
      </c>
      <c r="E191" s="437" t="s">
        <v>64</v>
      </c>
      <c r="F191" s="438" t="s">
        <v>54</v>
      </c>
    </row>
    <row r="192" spans="1:8" ht="25.5">
      <c r="A192" s="426" t="s">
        <v>493</v>
      </c>
      <c r="B192" s="439" t="s">
        <v>105</v>
      </c>
      <c r="C192" s="337" t="s">
        <v>59</v>
      </c>
      <c r="D192" s="440">
        <v>0.2</v>
      </c>
      <c r="E192" s="206">
        <v>18.399999999999999</v>
      </c>
      <c r="F192" s="1903">
        <f>TRUNC((D192*E192),2)</f>
        <v>3.68</v>
      </c>
    </row>
    <row r="193" spans="1:6" ht="25.5">
      <c r="A193" s="426" t="s">
        <v>494</v>
      </c>
      <c r="B193" s="439" t="s">
        <v>106</v>
      </c>
      <c r="C193" s="337" t="s">
        <v>59</v>
      </c>
      <c r="D193" s="440">
        <v>0.2</v>
      </c>
      <c r="E193" s="206">
        <v>22.37</v>
      </c>
      <c r="F193" s="1903">
        <f>TRUNC((D193*E193),2)</f>
        <v>4.47</v>
      </c>
    </row>
    <row r="194" spans="1:6">
      <c r="A194" s="1904"/>
      <c r="B194" s="1320"/>
      <c r="C194" s="337" t="s">
        <v>43</v>
      </c>
      <c r="D194" s="441" t="s">
        <v>43</v>
      </c>
      <c r="E194" s="442" t="s">
        <v>60</v>
      </c>
      <c r="F194" s="1905">
        <f>SUM(F192:F193)</f>
        <v>8.15</v>
      </c>
    </row>
    <row r="195" spans="1:6" ht="25.5">
      <c r="A195" s="1904"/>
      <c r="B195" s="1906" t="s">
        <v>98</v>
      </c>
      <c r="C195" s="371" t="s">
        <v>51</v>
      </c>
      <c r="D195" s="443" t="s">
        <v>52</v>
      </c>
      <c r="E195" s="444" t="s">
        <v>64</v>
      </c>
      <c r="F195" s="1905" t="s">
        <v>54</v>
      </c>
    </row>
    <row r="196" spans="1:6">
      <c r="A196" s="1907">
        <v>3148</v>
      </c>
      <c r="B196" s="208" t="s">
        <v>509</v>
      </c>
      <c r="C196" s="337" t="s">
        <v>57</v>
      </c>
      <c r="D196" s="361">
        <v>0.31</v>
      </c>
      <c r="E196" s="228">
        <v>18.25</v>
      </c>
      <c r="F196" s="1903">
        <f>TRUNC((D196*E196),2)</f>
        <v>5.65</v>
      </c>
    </row>
    <row r="197" spans="1:6" ht="25.5">
      <c r="A197" s="426">
        <v>10836</v>
      </c>
      <c r="B197" s="208" t="s">
        <v>2084</v>
      </c>
      <c r="C197" s="337" t="s">
        <v>57</v>
      </c>
      <c r="D197" s="440">
        <v>1</v>
      </c>
      <c r="E197" s="228">
        <v>26.18</v>
      </c>
      <c r="F197" s="1903">
        <f>TRUNC((D197*E197),2)</f>
        <v>26.18</v>
      </c>
    </row>
    <row r="198" spans="1:6" ht="15.75" thickBot="1">
      <c r="A198" s="210"/>
      <c r="B198" s="369"/>
      <c r="C198" s="1766"/>
      <c r="D198" s="448"/>
      <c r="E198" s="449" t="s">
        <v>60</v>
      </c>
      <c r="F198" s="410">
        <f>SUM(F196:F197)</f>
        <v>31.83</v>
      </c>
    </row>
    <row r="199" spans="1:6" ht="15.75" thickBot="1">
      <c r="A199" s="1377"/>
      <c r="B199" s="2108" t="s">
        <v>55</v>
      </c>
      <c r="C199" s="2108"/>
      <c r="D199" s="2108"/>
      <c r="E199" s="2108"/>
      <c r="F199" s="1378">
        <f>F194+F198</f>
        <v>39.979999999999997</v>
      </c>
    </row>
    <row r="200" spans="1:6" ht="15.75" thickBot="1"/>
    <row r="201" spans="1:6">
      <c r="A201" s="424" t="s">
        <v>2085</v>
      </c>
      <c r="B201" s="259" t="s">
        <v>2082</v>
      </c>
      <c r="C201" s="433" t="s">
        <v>57</v>
      </c>
      <c r="D201" s="153"/>
      <c r="E201" s="154"/>
      <c r="F201" s="246"/>
    </row>
    <row r="202" spans="1:6" ht="15" customHeight="1">
      <c r="A202" s="2207" t="s">
        <v>2083</v>
      </c>
      <c r="B202" s="2208"/>
      <c r="C202" s="2208"/>
      <c r="D202" s="2208"/>
      <c r="E202" s="2208"/>
      <c r="F202" s="2209"/>
    </row>
    <row r="203" spans="1:6" ht="25.5">
      <c r="A203" s="260"/>
      <c r="B203" s="434" t="s">
        <v>58</v>
      </c>
      <c r="C203" s="435" t="s">
        <v>51</v>
      </c>
      <c r="D203" s="436" t="s">
        <v>52</v>
      </c>
      <c r="E203" s="437" t="s">
        <v>64</v>
      </c>
      <c r="F203" s="438" t="s">
        <v>54</v>
      </c>
    </row>
    <row r="204" spans="1:6" ht="25.5">
      <c r="A204" s="426" t="s">
        <v>493</v>
      </c>
      <c r="B204" s="439" t="s">
        <v>105</v>
      </c>
      <c r="C204" s="337" t="s">
        <v>59</v>
      </c>
      <c r="D204" s="440">
        <v>0.185</v>
      </c>
      <c r="E204" s="206">
        <v>18.399999999999999</v>
      </c>
      <c r="F204" s="1903">
        <f>TRUNC((D204*E204),2)</f>
        <v>3.4</v>
      </c>
    </row>
    <row r="205" spans="1:6" ht="25.5">
      <c r="A205" s="426" t="s">
        <v>494</v>
      </c>
      <c r="B205" s="439" t="s">
        <v>106</v>
      </c>
      <c r="C205" s="337" t="s">
        <v>59</v>
      </c>
      <c r="D205" s="440">
        <v>0.185</v>
      </c>
      <c r="E205" s="206">
        <v>22.37</v>
      </c>
      <c r="F205" s="1903">
        <f>TRUNC((D205*E205),2)</f>
        <v>4.13</v>
      </c>
    </row>
    <row r="206" spans="1:6">
      <c r="A206" s="1904"/>
      <c r="B206" s="1320"/>
      <c r="C206" s="337" t="s">
        <v>43</v>
      </c>
      <c r="D206" s="441" t="s">
        <v>43</v>
      </c>
      <c r="E206" s="442" t="s">
        <v>60</v>
      </c>
      <c r="F206" s="1905">
        <f>SUM(F204:F205)</f>
        <v>7.5299999999999994</v>
      </c>
    </row>
    <row r="207" spans="1:6" ht="25.5">
      <c r="A207" s="1904"/>
      <c r="B207" s="1906" t="s">
        <v>98</v>
      </c>
      <c r="C207" s="371" t="s">
        <v>51</v>
      </c>
      <c r="D207" s="443" t="s">
        <v>52</v>
      </c>
      <c r="E207" s="444" t="s">
        <v>64</v>
      </c>
      <c r="F207" s="1905" t="s">
        <v>54</v>
      </c>
    </row>
    <row r="208" spans="1:6" ht="25.5">
      <c r="A208" s="1907">
        <v>20085</v>
      </c>
      <c r="B208" s="208" t="s">
        <v>1882</v>
      </c>
      <c r="C208" s="337" t="s">
        <v>57</v>
      </c>
      <c r="D208" s="361">
        <v>1</v>
      </c>
      <c r="E208" s="228">
        <v>3.03</v>
      </c>
      <c r="F208" s="1903">
        <f>TRUNC((D208*E208),2)</f>
        <v>3.03</v>
      </c>
    </row>
    <row r="209" spans="1:9" ht="26.25" thickBot="1">
      <c r="A209" s="1909">
        <v>301</v>
      </c>
      <c r="B209" s="1910" t="s">
        <v>2086</v>
      </c>
      <c r="C209" s="1911" t="s">
        <v>57</v>
      </c>
      <c r="D209" s="1912">
        <v>1</v>
      </c>
      <c r="E209" s="1369">
        <v>4.09</v>
      </c>
      <c r="F209" s="1913">
        <f>TRUNC((D209*E209),2)</f>
        <v>4.09</v>
      </c>
    </row>
    <row r="210" spans="1:9" ht="38.25">
      <c r="A210" s="1914">
        <v>20078</v>
      </c>
      <c r="B210" s="1405" t="s">
        <v>1881</v>
      </c>
      <c r="C210" s="1915" t="s">
        <v>57</v>
      </c>
      <c r="D210" s="1916">
        <v>9.1999999999999998E-2</v>
      </c>
      <c r="E210" s="1375">
        <v>31.72</v>
      </c>
      <c r="F210" s="1917">
        <f>TRUNC((D210*E210),2)</f>
        <v>2.91</v>
      </c>
    </row>
    <row r="211" spans="1:9" ht="25.5">
      <c r="A211" s="1907">
        <v>10908</v>
      </c>
      <c r="B211" s="208" t="s">
        <v>2087</v>
      </c>
      <c r="C211" s="337" t="s">
        <v>57</v>
      </c>
      <c r="D211" s="361">
        <v>1</v>
      </c>
      <c r="E211" s="228">
        <v>23.82</v>
      </c>
      <c r="F211" s="1903">
        <f>TRUNC((D211*E211),2)</f>
        <v>23.82</v>
      </c>
    </row>
    <row r="212" spans="1:9" ht="15.75" thickBot="1">
      <c r="A212" s="210"/>
      <c r="B212" s="369"/>
      <c r="C212" s="1766"/>
      <c r="D212" s="448"/>
      <c r="E212" s="449" t="s">
        <v>60</v>
      </c>
      <c r="F212" s="410">
        <f>SUM(F208:F211)</f>
        <v>33.85</v>
      </c>
    </row>
    <row r="213" spans="1:9" ht="15.75" thickBot="1">
      <c r="A213" s="1377"/>
      <c r="B213" s="2108" t="s">
        <v>55</v>
      </c>
      <c r="C213" s="2108"/>
      <c r="D213" s="2108"/>
      <c r="E213" s="2108"/>
      <c r="F213" s="1378">
        <f>F206+F212</f>
        <v>41.38</v>
      </c>
    </row>
    <row r="214" spans="1:9" ht="15.75" thickBot="1"/>
    <row r="215" spans="1:9" ht="25.5">
      <c r="A215" s="424" t="s">
        <v>520</v>
      </c>
      <c r="B215" s="259" t="s">
        <v>2090</v>
      </c>
      <c r="C215" s="433" t="s">
        <v>57</v>
      </c>
      <c r="D215" s="153"/>
      <c r="E215" s="154"/>
      <c r="F215" s="246"/>
      <c r="H215" s="431"/>
    </row>
    <row r="216" spans="1:9">
      <c r="A216" s="2207" t="s">
        <v>2091</v>
      </c>
      <c r="B216" s="2208"/>
      <c r="C216" s="2208"/>
      <c r="D216" s="2208"/>
      <c r="E216" s="2208"/>
      <c r="F216" s="2209"/>
    </row>
    <row r="217" spans="1:9" ht="25.5">
      <c r="A217" s="260"/>
      <c r="B217" s="434" t="s">
        <v>58</v>
      </c>
      <c r="C217" s="435" t="s">
        <v>51</v>
      </c>
      <c r="D217" s="436" t="s">
        <v>52</v>
      </c>
      <c r="E217" s="437" t="s">
        <v>64</v>
      </c>
      <c r="F217" s="438" t="s">
        <v>54</v>
      </c>
    </row>
    <row r="218" spans="1:9" ht="25.5">
      <c r="A218" s="426" t="s">
        <v>493</v>
      </c>
      <c r="B218" s="439" t="s">
        <v>105</v>
      </c>
      <c r="C218" s="337" t="s">
        <v>59</v>
      </c>
      <c r="D218" s="440">
        <v>0.55000000000000004</v>
      </c>
      <c r="E218" s="206">
        <v>18.399999999999999</v>
      </c>
      <c r="F218" s="1903">
        <f>TRUNC((D218*E218),2)</f>
        <v>10.119999999999999</v>
      </c>
    </row>
    <row r="219" spans="1:9" ht="25.5">
      <c r="A219" s="426" t="s">
        <v>494</v>
      </c>
      <c r="B219" s="439" t="s">
        <v>106</v>
      </c>
      <c r="C219" s="337" t="s">
        <v>59</v>
      </c>
      <c r="D219" s="440">
        <v>0.55000000000000004</v>
      </c>
      <c r="E219" s="206">
        <v>22.37</v>
      </c>
      <c r="F219" s="1903">
        <f>TRUNC((D219*E219),2)</f>
        <v>12.3</v>
      </c>
    </row>
    <row r="220" spans="1:9">
      <c r="A220" s="1904"/>
      <c r="B220" s="1320"/>
      <c r="C220" s="337" t="s">
        <v>43</v>
      </c>
      <c r="D220" s="441" t="s">
        <v>43</v>
      </c>
      <c r="E220" s="442" t="s">
        <v>60</v>
      </c>
      <c r="F220" s="1905">
        <f>SUM(F218:F219)</f>
        <v>22.42</v>
      </c>
      <c r="H220" s="948"/>
      <c r="I220" s="883"/>
    </row>
    <row r="221" spans="1:9" ht="25.5">
      <c r="A221" s="1904"/>
      <c r="B221" s="1906" t="s">
        <v>98</v>
      </c>
      <c r="C221" s="371" t="s">
        <v>51</v>
      </c>
      <c r="D221" s="443" t="s">
        <v>52</v>
      </c>
      <c r="E221" s="444" t="s">
        <v>64</v>
      </c>
      <c r="F221" s="1905" t="s">
        <v>54</v>
      </c>
      <c r="H221" s="885"/>
      <c r="I221" s="452"/>
    </row>
    <row r="222" spans="1:9">
      <c r="A222" s="426">
        <v>122</v>
      </c>
      <c r="B222" s="208" t="s">
        <v>130</v>
      </c>
      <c r="C222" s="337" t="s">
        <v>104</v>
      </c>
      <c r="D222" s="361">
        <v>7.6999999999999999E-2</v>
      </c>
      <c r="E222" s="228">
        <v>76.86</v>
      </c>
      <c r="F222" s="1903">
        <f>TRUNC((D222*E222),2)</f>
        <v>5.91</v>
      </c>
      <c r="H222" s="885"/>
      <c r="I222" s="452"/>
    </row>
    <row r="223" spans="1:9">
      <c r="A223" s="426">
        <v>20083</v>
      </c>
      <c r="B223" s="208" t="s">
        <v>131</v>
      </c>
      <c r="C223" s="337" t="s">
        <v>487</v>
      </c>
      <c r="D223" s="361">
        <v>0.11799999999999999</v>
      </c>
      <c r="E223" s="228">
        <v>87.08</v>
      </c>
      <c r="F223" s="1903">
        <f>TRUNC((D223*E223),2)</f>
        <v>10.27</v>
      </c>
      <c r="H223" s="885"/>
      <c r="I223" s="452"/>
    </row>
    <row r="224" spans="1:9" ht="25.5">
      <c r="A224" s="426">
        <v>11656</v>
      </c>
      <c r="B224" s="208" t="s">
        <v>2092</v>
      </c>
      <c r="C224" s="337" t="s">
        <v>57</v>
      </c>
      <c r="D224" s="440">
        <v>1</v>
      </c>
      <c r="E224" s="228">
        <v>21.81</v>
      </c>
      <c r="F224" s="1903">
        <f>TRUNC((D224*E224),2)</f>
        <v>21.81</v>
      </c>
      <c r="H224" s="885"/>
      <c r="I224" s="452"/>
    </row>
    <row r="225" spans="1:9" ht="15.75" thickBot="1">
      <c r="A225" s="210"/>
      <c r="B225" s="369"/>
      <c r="C225" s="1766"/>
      <c r="D225" s="448"/>
      <c r="E225" s="449" t="s">
        <v>60</v>
      </c>
      <c r="F225" s="410">
        <f>SUM(F222:F224)</f>
        <v>37.989999999999995</v>
      </c>
    </row>
    <row r="226" spans="1:9" ht="15.75" thickBot="1">
      <c r="A226" s="1377"/>
      <c r="B226" s="2108" t="s">
        <v>55</v>
      </c>
      <c r="C226" s="2108"/>
      <c r="D226" s="2108"/>
      <c r="E226" s="2108"/>
      <c r="F226" s="1378">
        <f>F220+F225</f>
        <v>60.41</v>
      </c>
    </row>
    <row r="227" spans="1:9" ht="15.75" thickBot="1"/>
    <row r="228" spans="1:9" ht="15.75">
      <c r="A228" s="424" t="s">
        <v>521</v>
      </c>
      <c r="B228" s="259" t="s">
        <v>2094</v>
      </c>
      <c r="C228" s="433" t="s">
        <v>57</v>
      </c>
      <c r="D228" s="153"/>
      <c r="E228" s="154"/>
      <c r="F228" s="246"/>
      <c r="G228" s="431"/>
      <c r="H228" s="431"/>
    </row>
    <row r="229" spans="1:9">
      <c r="A229" s="2207" t="s">
        <v>2109</v>
      </c>
      <c r="B229" s="2208"/>
      <c r="C229" s="2208"/>
      <c r="D229" s="2208"/>
      <c r="E229" s="2208"/>
      <c r="F229" s="2209"/>
    </row>
    <row r="230" spans="1:9" ht="25.5">
      <c r="A230" s="260"/>
      <c r="B230" s="434" t="s">
        <v>58</v>
      </c>
      <c r="C230" s="435" t="s">
        <v>51</v>
      </c>
      <c r="D230" s="436" t="s">
        <v>52</v>
      </c>
      <c r="E230" s="437" t="s">
        <v>64</v>
      </c>
      <c r="F230" s="438" t="s">
        <v>54</v>
      </c>
    </row>
    <row r="231" spans="1:9" ht="25.5">
      <c r="A231" s="426" t="s">
        <v>493</v>
      </c>
      <c r="B231" s="439" t="s">
        <v>105</v>
      </c>
      <c r="C231" s="337" t="s">
        <v>59</v>
      </c>
      <c r="D231" s="455">
        <v>0.25</v>
      </c>
      <c r="E231" s="206">
        <v>18.399999999999999</v>
      </c>
      <c r="F231" s="1903">
        <f>TRUNC((D231*E231),2)</f>
        <v>4.5999999999999996</v>
      </c>
    </row>
    <row r="232" spans="1:9" ht="25.5">
      <c r="A232" s="426" t="s">
        <v>494</v>
      </c>
      <c r="B232" s="439" t="s">
        <v>106</v>
      </c>
      <c r="C232" s="337" t="s">
        <v>59</v>
      </c>
      <c r="D232" s="455">
        <v>0.25</v>
      </c>
      <c r="E232" s="206">
        <v>22.37</v>
      </c>
      <c r="F232" s="1903">
        <f>TRUNC((D232*E232),2)</f>
        <v>5.59</v>
      </c>
    </row>
    <row r="233" spans="1:9">
      <c r="A233" s="1904"/>
      <c r="B233" s="1320"/>
      <c r="C233" s="337" t="s">
        <v>43</v>
      </c>
      <c r="D233" s="441" t="s">
        <v>43</v>
      </c>
      <c r="E233" s="442" t="s">
        <v>60</v>
      </c>
      <c r="F233" s="1905">
        <f>SUM(F231:F232)</f>
        <v>10.19</v>
      </c>
    </row>
    <row r="234" spans="1:9" ht="25.5">
      <c r="A234" s="1904"/>
      <c r="B234" s="1906" t="s">
        <v>98</v>
      </c>
      <c r="C234" s="371" t="s">
        <v>51</v>
      </c>
      <c r="D234" s="443" t="s">
        <v>52</v>
      </c>
      <c r="E234" s="444" t="s">
        <v>64</v>
      </c>
      <c r="F234" s="1905" t="s">
        <v>54</v>
      </c>
      <c r="H234" s="454"/>
      <c r="I234" s="454"/>
    </row>
    <row r="235" spans="1:9">
      <c r="A235" s="1907">
        <v>3148</v>
      </c>
      <c r="B235" s="208" t="s">
        <v>509</v>
      </c>
      <c r="C235" s="337" t="s">
        <v>57</v>
      </c>
      <c r="D235" s="440">
        <v>0.94</v>
      </c>
      <c r="E235" s="228">
        <v>18.25</v>
      </c>
      <c r="F235" s="1903">
        <f>TRUNC((D235*E235),2)</f>
        <v>17.149999999999999</v>
      </c>
      <c r="H235" s="454"/>
      <c r="I235" s="454"/>
    </row>
    <row r="236" spans="1:9">
      <c r="A236" s="426">
        <v>20262</v>
      </c>
      <c r="B236" s="208" t="s">
        <v>2095</v>
      </c>
      <c r="C236" s="337" t="s">
        <v>57</v>
      </c>
      <c r="D236" s="440">
        <v>1</v>
      </c>
      <c r="E236" s="228">
        <v>17.760000000000002</v>
      </c>
      <c r="F236" s="1903">
        <f>TRUNC((D236*E236),2)</f>
        <v>17.760000000000002</v>
      </c>
      <c r="H236" s="454"/>
      <c r="I236" s="454"/>
    </row>
    <row r="237" spans="1:9" ht="15.75" thickBot="1">
      <c r="A237" s="210"/>
      <c r="B237" s="369"/>
      <c r="C237" s="1766"/>
      <c r="D237" s="448"/>
      <c r="E237" s="449" t="s">
        <v>60</v>
      </c>
      <c r="F237" s="410">
        <f>SUM(F235:F236)</f>
        <v>34.909999999999997</v>
      </c>
      <c r="H237" s="454"/>
      <c r="I237" s="454"/>
    </row>
    <row r="238" spans="1:9" ht="15.75" thickBot="1">
      <c r="A238" s="1377"/>
      <c r="B238" s="2108" t="s">
        <v>55</v>
      </c>
      <c r="C238" s="2108"/>
      <c r="D238" s="2108"/>
      <c r="E238" s="2108"/>
      <c r="F238" s="1378">
        <f>F233+F237</f>
        <v>45.099999999999994</v>
      </c>
    </row>
    <row r="239" spans="1:9" ht="15.75" thickBot="1"/>
    <row r="240" spans="1:9" ht="25.5" customHeight="1">
      <c r="A240" s="424" t="s">
        <v>522</v>
      </c>
      <c r="B240" s="259" t="s">
        <v>2097</v>
      </c>
      <c r="C240" s="433" t="s">
        <v>57</v>
      </c>
      <c r="D240" s="153"/>
      <c r="E240" s="154"/>
      <c r="F240" s="246"/>
      <c r="G240" s="431"/>
      <c r="H240" s="431"/>
    </row>
    <row r="241" spans="1:8">
      <c r="A241" s="2207" t="s">
        <v>526</v>
      </c>
      <c r="B241" s="2208"/>
      <c r="C241" s="2208"/>
      <c r="D241" s="2208"/>
      <c r="E241" s="2208"/>
      <c r="F241" s="2209"/>
    </row>
    <row r="242" spans="1:8" ht="25.5">
      <c r="A242" s="260"/>
      <c r="B242" s="434" t="s">
        <v>58</v>
      </c>
      <c r="C242" s="435" t="s">
        <v>51</v>
      </c>
      <c r="D242" s="436" t="s">
        <v>52</v>
      </c>
      <c r="E242" s="437" t="s">
        <v>64</v>
      </c>
      <c r="F242" s="438" t="s">
        <v>54</v>
      </c>
    </row>
    <row r="243" spans="1:8" ht="25.5">
      <c r="A243" s="426" t="s">
        <v>493</v>
      </c>
      <c r="B243" s="439" t="s">
        <v>105</v>
      </c>
      <c r="C243" s="337" t="s">
        <v>59</v>
      </c>
      <c r="D243" s="440">
        <v>0.14000000000000001</v>
      </c>
      <c r="E243" s="206">
        <v>18.399999999999999</v>
      </c>
      <c r="F243" s="1903">
        <f>TRUNC((D243*E243),2)</f>
        <v>2.57</v>
      </c>
    </row>
    <row r="244" spans="1:8" ht="25.5">
      <c r="A244" s="426" t="s">
        <v>494</v>
      </c>
      <c r="B244" s="439" t="s">
        <v>106</v>
      </c>
      <c r="C244" s="337" t="s">
        <v>59</v>
      </c>
      <c r="D244" s="440">
        <v>0.14000000000000001</v>
      </c>
      <c r="E244" s="206">
        <v>22.37</v>
      </c>
      <c r="F244" s="1903">
        <f>TRUNC((D244*E244),2)</f>
        <v>3.13</v>
      </c>
    </row>
    <row r="245" spans="1:8">
      <c r="A245" s="1904"/>
      <c r="B245" s="1320"/>
      <c r="C245" s="337" t="s">
        <v>43</v>
      </c>
      <c r="D245" s="441" t="s">
        <v>43</v>
      </c>
      <c r="E245" s="442" t="s">
        <v>60</v>
      </c>
      <c r="F245" s="1905">
        <f>SUM(F243:F244)</f>
        <v>5.6999999999999993</v>
      </c>
    </row>
    <row r="246" spans="1:8" ht="25.5">
      <c r="A246" s="1904"/>
      <c r="B246" s="1906" t="s">
        <v>98</v>
      </c>
      <c r="C246" s="371" t="s">
        <v>51</v>
      </c>
      <c r="D246" s="443" t="s">
        <v>52</v>
      </c>
      <c r="E246" s="444" t="s">
        <v>64</v>
      </c>
      <c r="F246" s="1905" t="s">
        <v>54</v>
      </c>
    </row>
    <row r="247" spans="1:8" ht="25.5">
      <c r="A247" s="1907">
        <v>6140</v>
      </c>
      <c r="B247" s="208" t="s">
        <v>2097</v>
      </c>
      <c r="C247" s="337" t="s">
        <v>57</v>
      </c>
      <c r="D247" s="361">
        <v>1</v>
      </c>
      <c r="E247" s="228">
        <v>4.3499999999999996</v>
      </c>
      <c r="F247" s="1903">
        <f>TRUNC((D247*E247),2)</f>
        <v>4.3499999999999996</v>
      </c>
    </row>
    <row r="248" spans="1:8" ht="15.75" thickBot="1">
      <c r="A248" s="210"/>
      <c r="B248" s="369"/>
      <c r="C248" s="1766"/>
      <c r="D248" s="448"/>
      <c r="E248" s="449" t="s">
        <v>60</v>
      </c>
      <c r="F248" s="410">
        <f>SUM(F247:F247)</f>
        <v>4.3499999999999996</v>
      </c>
    </row>
    <row r="249" spans="1:8" ht="15.75" thickBot="1">
      <c r="A249" s="1377"/>
      <c r="B249" s="2108" t="s">
        <v>55</v>
      </c>
      <c r="C249" s="2108"/>
      <c r="D249" s="2108"/>
      <c r="E249" s="2108"/>
      <c r="F249" s="1378">
        <f>F245+F248</f>
        <v>10.049999999999999</v>
      </c>
    </row>
    <row r="250" spans="1:8" ht="15.75" thickBot="1"/>
    <row r="251" spans="1:8" ht="28.5" customHeight="1">
      <c r="A251" s="424" t="s">
        <v>523</v>
      </c>
      <c r="B251" s="259" t="s">
        <v>2098</v>
      </c>
      <c r="C251" s="433" t="s">
        <v>57</v>
      </c>
      <c r="D251" s="153"/>
      <c r="E251" s="154"/>
      <c r="F251" s="246"/>
      <c r="G251" s="431"/>
      <c r="H251" s="431"/>
    </row>
    <row r="252" spans="1:8" ht="15" customHeight="1">
      <c r="A252" s="2207" t="s">
        <v>2108</v>
      </c>
      <c r="B252" s="2208"/>
      <c r="C252" s="2208"/>
      <c r="D252" s="2208"/>
      <c r="E252" s="2208"/>
      <c r="F252" s="2209"/>
    </row>
    <row r="253" spans="1:8" ht="25.5">
      <c r="A253" s="260"/>
      <c r="B253" s="434" t="s">
        <v>58</v>
      </c>
      <c r="C253" s="435" t="s">
        <v>51</v>
      </c>
      <c r="D253" s="436" t="s">
        <v>52</v>
      </c>
      <c r="E253" s="437" t="s">
        <v>64</v>
      </c>
      <c r="F253" s="438" t="s">
        <v>54</v>
      </c>
    </row>
    <row r="254" spans="1:8" ht="25.5">
      <c r="A254" s="426" t="s">
        <v>493</v>
      </c>
      <c r="B254" s="439" t="s">
        <v>105</v>
      </c>
      <c r="C254" s="337" t="s">
        <v>59</v>
      </c>
      <c r="D254" s="455">
        <v>7.0000000000000007E-2</v>
      </c>
      <c r="E254" s="206">
        <v>18.399999999999999</v>
      </c>
      <c r="F254" s="1903">
        <f>TRUNC((D254*E254),2)</f>
        <v>1.28</v>
      </c>
    </row>
    <row r="255" spans="1:8" ht="25.5">
      <c r="A255" s="426" t="s">
        <v>494</v>
      </c>
      <c r="B255" s="439" t="s">
        <v>106</v>
      </c>
      <c r="C255" s="337" t="s">
        <v>59</v>
      </c>
      <c r="D255" s="455">
        <v>7.0000000000000007E-2</v>
      </c>
      <c r="E255" s="206">
        <v>22.37</v>
      </c>
      <c r="F255" s="1903">
        <f>TRUNC((D255*E255),2)</f>
        <v>1.56</v>
      </c>
    </row>
    <row r="256" spans="1:8">
      <c r="A256" s="1904"/>
      <c r="B256" s="1320"/>
      <c r="C256" s="337" t="s">
        <v>43</v>
      </c>
      <c r="D256" s="441" t="s">
        <v>43</v>
      </c>
      <c r="E256" s="442" t="s">
        <v>60</v>
      </c>
      <c r="F256" s="1905">
        <f>SUM(F254:F255)</f>
        <v>2.84</v>
      </c>
    </row>
    <row r="257" spans="1:11" ht="25.5">
      <c r="A257" s="1904"/>
      <c r="B257" s="1906" t="s">
        <v>98</v>
      </c>
      <c r="C257" s="371" t="s">
        <v>51</v>
      </c>
      <c r="D257" s="443" t="s">
        <v>52</v>
      </c>
      <c r="E257" s="444" t="s">
        <v>64</v>
      </c>
      <c r="F257" s="1905" t="s">
        <v>54</v>
      </c>
      <c r="H257" s="454"/>
      <c r="I257" s="454"/>
    </row>
    <row r="258" spans="1:11">
      <c r="A258" s="426">
        <v>122</v>
      </c>
      <c r="B258" s="208" t="s">
        <v>130</v>
      </c>
      <c r="C258" s="337" t="s">
        <v>104</v>
      </c>
      <c r="D258" s="440">
        <v>8.0000000000000002E-3</v>
      </c>
      <c r="E258" s="228">
        <v>76.86</v>
      </c>
      <c r="F258" s="1903">
        <f>TRUNC((D258*E258),2)</f>
        <v>0.61</v>
      </c>
      <c r="H258" s="454"/>
      <c r="I258" s="454"/>
    </row>
    <row r="259" spans="1:11">
      <c r="A259" s="426">
        <v>20083</v>
      </c>
      <c r="B259" s="208" t="s">
        <v>131</v>
      </c>
      <c r="C259" s="337" t="s">
        <v>487</v>
      </c>
      <c r="D259" s="440">
        <v>1.0999999999999999E-2</v>
      </c>
      <c r="E259" s="228">
        <v>87.08</v>
      </c>
      <c r="F259" s="1903">
        <f>TRUNC((D259*E259),2)</f>
        <v>0.95</v>
      </c>
      <c r="H259" s="454"/>
      <c r="I259" s="454"/>
    </row>
    <row r="260" spans="1:11" ht="24.75">
      <c r="A260" s="426">
        <v>39319</v>
      </c>
      <c r="B260" s="1908" t="s">
        <v>2098</v>
      </c>
      <c r="C260" s="337" t="s">
        <v>57</v>
      </c>
      <c r="D260" s="440">
        <v>1</v>
      </c>
      <c r="E260" s="228">
        <v>9.3800000000000008</v>
      </c>
      <c r="F260" s="1903">
        <f>TRUNC((D260*E260),2)</f>
        <v>9.3800000000000008</v>
      </c>
      <c r="H260" s="454"/>
      <c r="I260" s="454"/>
    </row>
    <row r="261" spans="1:11" ht="15.75" thickBot="1">
      <c r="A261" s="210"/>
      <c r="B261" s="369"/>
      <c r="C261" s="1766"/>
      <c r="D261" s="448"/>
      <c r="E261" s="449" t="s">
        <v>60</v>
      </c>
      <c r="F261" s="410">
        <f>SUM(F258:F260)</f>
        <v>10.940000000000001</v>
      </c>
      <c r="H261" s="454"/>
      <c r="I261" s="454"/>
    </row>
    <row r="262" spans="1:11" ht="15.75" thickBot="1">
      <c r="A262" s="192"/>
      <c r="B262" s="2250" t="s">
        <v>55</v>
      </c>
      <c r="C262" s="2250"/>
      <c r="D262" s="2250"/>
      <c r="E262" s="2250"/>
      <c r="F262" s="526">
        <f>F256+F261</f>
        <v>13.780000000000001</v>
      </c>
    </row>
    <row r="263" spans="1:11" ht="15.75" thickBot="1"/>
    <row r="264" spans="1:11" ht="25.5">
      <c r="A264" s="424" t="s">
        <v>524</v>
      </c>
      <c r="B264" s="346" t="s">
        <v>2099</v>
      </c>
      <c r="C264" s="433" t="s">
        <v>57</v>
      </c>
      <c r="D264" s="153"/>
      <c r="E264" s="154"/>
      <c r="F264" s="246"/>
      <c r="G264" s="456"/>
      <c r="H264" s="431"/>
    </row>
    <row r="265" spans="1:11">
      <c r="A265" s="2207" t="s">
        <v>2108</v>
      </c>
      <c r="B265" s="2208"/>
      <c r="C265" s="2208"/>
      <c r="D265" s="2208"/>
      <c r="E265" s="2208"/>
      <c r="F265" s="2209"/>
    </row>
    <row r="266" spans="1:11" ht="25.5">
      <c r="A266" s="260"/>
      <c r="B266" s="434" t="s">
        <v>58</v>
      </c>
      <c r="C266" s="435" t="s">
        <v>51</v>
      </c>
      <c r="D266" s="436" t="s">
        <v>52</v>
      </c>
      <c r="E266" s="437" t="s">
        <v>64</v>
      </c>
      <c r="F266" s="438" t="s">
        <v>54</v>
      </c>
      <c r="H266" s="457"/>
    </row>
    <row r="267" spans="1:11" ht="25.5">
      <c r="A267" s="426" t="s">
        <v>493</v>
      </c>
      <c r="B267" s="439" t="s">
        <v>105</v>
      </c>
      <c r="C267" s="337" t="s">
        <v>59</v>
      </c>
      <c r="D267" s="455">
        <v>7.0000000000000007E-2</v>
      </c>
      <c r="E267" s="206">
        <v>18.399999999999999</v>
      </c>
      <c r="F267" s="1903">
        <f>TRUNC((D267*E267),2)</f>
        <v>1.28</v>
      </c>
    </row>
    <row r="268" spans="1:11" ht="25.5">
      <c r="A268" s="426" t="s">
        <v>494</v>
      </c>
      <c r="B268" s="439" t="s">
        <v>106</v>
      </c>
      <c r="C268" s="337" t="s">
        <v>59</v>
      </c>
      <c r="D268" s="455">
        <v>7.0000000000000007E-2</v>
      </c>
      <c r="E268" s="206">
        <v>22.37</v>
      </c>
      <c r="F268" s="1903">
        <f>TRUNC((D268*E268),2)</f>
        <v>1.56</v>
      </c>
    </row>
    <row r="269" spans="1:11">
      <c r="A269" s="1904"/>
      <c r="B269" s="1320"/>
      <c r="C269" s="337" t="s">
        <v>43</v>
      </c>
      <c r="D269" s="441" t="s">
        <v>43</v>
      </c>
      <c r="E269" s="442" t="s">
        <v>60</v>
      </c>
      <c r="F269" s="1905">
        <f>SUM(F267:F268)</f>
        <v>2.84</v>
      </c>
      <c r="H269" s="450"/>
      <c r="I269" s="882"/>
      <c r="J269" s="883"/>
    </row>
    <row r="270" spans="1:11" ht="25.5">
      <c r="A270" s="1904"/>
      <c r="B270" s="1906" t="s">
        <v>98</v>
      </c>
      <c r="C270" s="371" t="s">
        <v>51</v>
      </c>
      <c r="D270" s="443" t="s">
        <v>52</v>
      </c>
      <c r="E270" s="444" t="s">
        <v>64</v>
      </c>
      <c r="F270" s="1905" t="s">
        <v>54</v>
      </c>
      <c r="H270" s="450"/>
      <c r="I270" s="452"/>
      <c r="J270" s="883"/>
    </row>
    <row r="271" spans="1:11">
      <c r="A271" s="426">
        <v>122</v>
      </c>
      <c r="B271" s="208" t="s">
        <v>130</v>
      </c>
      <c r="C271" s="337" t="s">
        <v>104</v>
      </c>
      <c r="D271" s="440">
        <v>8.0000000000000002E-3</v>
      </c>
      <c r="E271" s="228">
        <v>76.86</v>
      </c>
      <c r="F271" s="1903">
        <f>TRUNC((D271*E271),2)</f>
        <v>0.61</v>
      </c>
      <c r="H271" s="450"/>
      <c r="I271" s="882"/>
      <c r="J271" s="883"/>
      <c r="K271" s="62"/>
    </row>
    <row r="272" spans="1:11">
      <c r="A272" s="426">
        <v>20083</v>
      </c>
      <c r="B272" s="208" t="s">
        <v>131</v>
      </c>
      <c r="C272" s="337" t="s">
        <v>487</v>
      </c>
      <c r="D272" s="440">
        <v>1.0999999999999999E-2</v>
      </c>
      <c r="E272" s="228">
        <v>87.08</v>
      </c>
      <c r="F272" s="1903">
        <f>TRUNC((D272*E272),2)</f>
        <v>0.95</v>
      </c>
      <c r="H272" s="450"/>
      <c r="I272" s="882"/>
      <c r="J272" s="883"/>
      <c r="K272" s="62"/>
    </row>
    <row r="273" spans="1:11" ht="24.75">
      <c r="A273" s="426">
        <v>39319</v>
      </c>
      <c r="B273" s="1908" t="s">
        <v>2098</v>
      </c>
      <c r="C273" s="337" t="s">
        <v>57</v>
      </c>
      <c r="D273" s="440">
        <v>1</v>
      </c>
      <c r="E273" s="228">
        <v>9.3800000000000008</v>
      </c>
      <c r="F273" s="1903">
        <f>TRUNC((D273*E273),2)</f>
        <v>9.3800000000000008</v>
      </c>
      <c r="H273" s="450"/>
      <c r="I273" s="452"/>
      <c r="J273" s="883"/>
      <c r="K273" s="62"/>
    </row>
    <row r="274" spans="1:11" ht="15.75" thickBot="1">
      <c r="A274" s="210"/>
      <c r="B274" s="369"/>
      <c r="C274" s="1766"/>
      <c r="D274" s="448"/>
      <c r="E274" s="449" t="s">
        <v>60</v>
      </c>
      <c r="F274" s="410">
        <f>SUM(F271:F273)</f>
        <v>10.940000000000001</v>
      </c>
      <c r="I274" s="880"/>
      <c r="J274" s="880"/>
      <c r="K274" s="62"/>
    </row>
    <row r="275" spans="1:11" ht="15.75" thickBot="1">
      <c r="A275" s="102"/>
      <c r="B275" s="2133" t="s">
        <v>55</v>
      </c>
      <c r="C275" s="2133"/>
      <c r="D275" s="2133"/>
      <c r="E275" s="2133"/>
      <c r="F275" s="409">
        <f>F269+F274</f>
        <v>13.780000000000001</v>
      </c>
      <c r="I275" s="880"/>
      <c r="J275" s="880"/>
      <c r="K275" s="880"/>
    </row>
    <row r="276" spans="1:11" ht="15.75" thickBot="1">
      <c r="I276" s="880"/>
      <c r="J276" s="880"/>
      <c r="K276" s="880"/>
    </row>
    <row r="277" spans="1:11" ht="26.25" customHeight="1">
      <c r="A277" s="424" t="s">
        <v>525</v>
      </c>
      <c r="B277" s="259" t="s">
        <v>2101</v>
      </c>
      <c r="C277" s="433" t="s">
        <v>57</v>
      </c>
      <c r="D277" s="153"/>
      <c r="E277" s="154"/>
      <c r="F277" s="246"/>
      <c r="H277" s="431"/>
      <c r="I277" s="62"/>
      <c r="J277" s="62"/>
      <c r="K277" s="62"/>
    </row>
    <row r="278" spans="1:11">
      <c r="A278" s="2207" t="s">
        <v>2110</v>
      </c>
      <c r="B278" s="2208"/>
      <c r="C278" s="2208"/>
      <c r="D278" s="2208"/>
      <c r="E278" s="2208"/>
      <c r="F278" s="2209"/>
      <c r="H278" s="950"/>
      <c r="I278" s="950"/>
      <c r="J278" s="950"/>
      <c r="K278" s="950"/>
    </row>
    <row r="279" spans="1:11" ht="25.5">
      <c r="A279" s="260"/>
      <c r="B279" s="434" t="s">
        <v>58</v>
      </c>
      <c r="C279" s="435" t="s">
        <v>51</v>
      </c>
      <c r="D279" s="436" t="s">
        <v>52</v>
      </c>
      <c r="E279" s="437" t="s">
        <v>64</v>
      </c>
      <c r="F279" s="438" t="s">
        <v>54</v>
      </c>
      <c r="H279" s="950"/>
      <c r="I279" s="950"/>
      <c r="J279" s="950"/>
      <c r="K279" s="950"/>
    </row>
    <row r="280" spans="1:11" ht="25.5">
      <c r="A280" s="426" t="s">
        <v>493</v>
      </c>
      <c r="B280" s="439" t="s">
        <v>105</v>
      </c>
      <c r="C280" s="337" t="s">
        <v>59</v>
      </c>
      <c r="D280" s="458">
        <v>0.55000000000000004</v>
      </c>
      <c r="E280" s="206">
        <v>18.399999999999999</v>
      </c>
      <c r="F280" s="1903">
        <f>TRUNC((D280*E280),2)</f>
        <v>10.119999999999999</v>
      </c>
      <c r="H280" s="950"/>
      <c r="I280" s="950"/>
      <c r="J280" s="950"/>
      <c r="K280" s="950"/>
    </row>
    <row r="281" spans="1:11" ht="25.5">
      <c r="A281" s="426" t="s">
        <v>494</v>
      </c>
      <c r="B281" s="439" t="s">
        <v>106</v>
      </c>
      <c r="C281" s="337" t="s">
        <v>59</v>
      </c>
      <c r="D281" s="458">
        <v>0.55000000000000004</v>
      </c>
      <c r="E281" s="206">
        <v>22.37</v>
      </c>
      <c r="F281" s="1903">
        <f>TRUNC((D281*E281),2)</f>
        <v>12.3</v>
      </c>
      <c r="H281" s="950"/>
      <c r="I281" s="950"/>
      <c r="J281" s="950"/>
      <c r="K281" s="950"/>
    </row>
    <row r="282" spans="1:11">
      <c r="A282" s="1904"/>
      <c r="B282" s="1320"/>
      <c r="C282" s="337" t="s">
        <v>43</v>
      </c>
      <c r="D282" s="441" t="s">
        <v>43</v>
      </c>
      <c r="E282" s="442" t="s">
        <v>60</v>
      </c>
      <c r="F282" s="1905">
        <f>SUM(F280:F281)</f>
        <v>22.42</v>
      </c>
      <c r="H282" s="950"/>
      <c r="I282" s="950"/>
      <c r="J282" s="950"/>
      <c r="K282" s="950"/>
    </row>
    <row r="283" spans="1:11" ht="25.5">
      <c r="A283" s="1904"/>
      <c r="B283" s="1906" t="s">
        <v>98</v>
      </c>
      <c r="C283" s="371" t="s">
        <v>51</v>
      </c>
      <c r="D283" s="443" t="s">
        <v>52</v>
      </c>
      <c r="E283" s="444" t="s">
        <v>64</v>
      </c>
      <c r="F283" s="1905" t="s">
        <v>54</v>
      </c>
      <c r="H283" s="950"/>
      <c r="I283" s="950"/>
      <c r="J283" s="950"/>
      <c r="K283" s="950"/>
    </row>
    <row r="284" spans="1:11" ht="25.5">
      <c r="A284" s="426">
        <v>35277</v>
      </c>
      <c r="B284" s="208" t="s">
        <v>2101</v>
      </c>
      <c r="C284" s="337" t="s">
        <v>57</v>
      </c>
      <c r="D284" s="440">
        <v>1</v>
      </c>
      <c r="E284" s="228">
        <v>358.71</v>
      </c>
      <c r="F284" s="1903">
        <f>TRUNC((D284*E284),2)</f>
        <v>358.71</v>
      </c>
      <c r="H284" s="950"/>
      <c r="I284" s="950"/>
      <c r="J284" s="950"/>
      <c r="K284" s="950"/>
    </row>
    <row r="285" spans="1:11" ht="15.75" thickBot="1">
      <c r="A285" s="210"/>
      <c r="B285" s="369"/>
      <c r="C285" s="1766"/>
      <c r="D285" s="448"/>
      <c r="E285" s="449" t="s">
        <v>60</v>
      </c>
      <c r="F285" s="410">
        <f>SUM(F284:F284)</f>
        <v>358.71</v>
      </c>
    </row>
    <row r="286" spans="1:11" ht="15.75" thickBot="1">
      <c r="A286" s="1377"/>
      <c r="B286" s="2108" t="s">
        <v>55</v>
      </c>
      <c r="C286" s="2108"/>
      <c r="D286" s="2108"/>
      <c r="E286" s="2108"/>
      <c r="F286" s="1378">
        <f>F282+F285</f>
        <v>381.13</v>
      </c>
    </row>
    <row r="287" spans="1:11" ht="6" customHeight="1" thickBot="1"/>
    <row r="288" spans="1:11" ht="42.75" customHeight="1" thickBot="1">
      <c r="A288" s="2124" t="s">
        <v>145</v>
      </c>
      <c r="B288" s="2125"/>
      <c r="C288" s="2036" t="s">
        <v>124</v>
      </c>
      <c r="D288" s="2036"/>
      <c r="E288" s="2036"/>
      <c r="F288" s="2037"/>
    </row>
  </sheetData>
  <mergeCells count="48">
    <mergeCell ref="A288:B288"/>
    <mergeCell ref="C288:F288"/>
    <mergeCell ref="A229:F229"/>
    <mergeCell ref="B238:E238"/>
    <mergeCell ref="A241:F241"/>
    <mergeCell ref="A278:F278"/>
    <mergeCell ref="B286:E286"/>
    <mergeCell ref="B249:E249"/>
    <mergeCell ref="A252:F252"/>
    <mergeCell ref="B262:E262"/>
    <mergeCell ref="A265:F265"/>
    <mergeCell ref="B275:E275"/>
    <mergeCell ref="B171:E171"/>
    <mergeCell ref="A174:F174"/>
    <mergeCell ref="B187:E187"/>
    <mergeCell ref="A216:F216"/>
    <mergeCell ref="B226:E226"/>
    <mergeCell ref="A190:F190"/>
    <mergeCell ref="B199:E199"/>
    <mergeCell ref="A202:F202"/>
    <mergeCell ref="B213:E213"/>
    <mergeCell ref="A138:F138"/>
    <mergeCell ref="B148:E148"/>
    <mergeCell ref="A151:F151"/>
    <mergeCell ref="B159:E159"/>
    <mergeCell ref="A162:F162"/>
    <mergeCell ref="B3:F3"/>
    <mergeCell ref="B4:F4"/>
    <mergeCell ref="A14:F14"/>
    <mergeCell ref="B5:F5"/>
    <mergeCell ref="A16:F16"/>
    <mergeCell ref="B27:E27"/>
    <mergeCell ref="A30:F30"/>
    <mergeCell ref="B41:E41"/>
    <mergeCell ref="A44:F44"/>
    <mergeCell ref="B68:E68"/>
    <mergeCell ref="A83:F83"/>
    <mergeCell ref="B94:E94"/>
    <mergeCell ref="B135:E135"/>
    <mergeCell ref="B55:E55"/>
    <mergeCell ref="A58:F58"/>
    <mergeCell ref="A71:F71"/>
    <mergeCell ref="B80:E80"/>
    <mergeCell ref="A97:F97"/>
    <mergeCell ref="B107:E107"/>
    <mergeCell ref="A110:F110"/>
    <mergeCell ref="B121:E121"/>
    <mergeCell ref="A124:F124"/>
  </mergeCells>
  <conditionalFormatting sqref="H45 I269:J270">
    <cfRule type="expression" dxfId="14" priority="53" stopIfTrue="1">
      <formula>AND($A45&lt;&gt;"COMPOSICAO",$A45&lt;&gt;"INSUMO",$A45&lt;&gt;"")</formula>
    </cfRule>
    <cfRule type="expression" dxfId="13" priority="54" stopIfTrue="1">
      <formula>AND(OR($A45="COMPOSICAO",$A45="INSUMO",$A45&lt;&gt;""),$A45&lt;&gt;"")</formula>
    </cfRule>
  </conditionalFormatting>
  <conditionalFormatting sqref="H54">
    <cfRule type="expression" dxfId="12" priority="47" stopIfTrue="1">
      <formula>AND($A54&lt;&gt;"COMPOSICAO",$A54&lt;&gt;"INSUMO",$A54&lt;&gt;"")</formula>
    </cfRule>
    <cfRule type="expression" dxfId="11" priority="48" stopIfTrue="1">
      <formula>AND(OR($A54="COMPOSICAO",$A54="INSUMO",$A54&lt;&gt;""),$A54&lt;&gt;"")</formula>
    </cfRule>
  </conditionalFormatting>
  <conditionalFormatting sqref="H220:H221">
    <cfRule type="expression" dxfId="10" priority="39" stopIfTrue="1">
      <formula>AND($A220&lt;&gt;"COMPOSICAO",$A220&lt;&gt;"INSUMO",$A220&lt;&gt;"")</formula>
    </cfRule>
    <cfRule type="expression" dxfId="9" priority="40" stopIfTrue="1">
      <formula>AND(OR($A220="COMPOSICAO",$A220="INSUMO",$A220&lt;&gt;""),$A220&lt;&gt;"")</formula>
    </cfRule>
  </conditionalFormatting>
  <conditionalFormatting sqref="I220:I221">
    <cfRule type="expression" dxfId="8" priority="37" stopIfTrue="1">
      <formula>AND($A220&lt;&gt;"COMPOSICAO",$A220&lt;&gt;"INSUMO",$A220&lt;&gt;"")</formula>
    </cfRule>
    <cfRule type="expression" dxfId="7" priority="38" stopIfTrue="1">
      <formula>AND(OR($A220="COMPOSICAO",$A220="INSUMO",$A220&lt;&gt;""),$A220&lt;&gt;"")</formula>
    </cfRule>
  </conditionalFormatting>
  <conditionalFormatting sqref="H128:H129">
    <cfRule type="expression" dxfId="6" priority="1" stopIfTrue="1">
      <formula>AND($A128&lt;&gt;"COMPOSICAO",$A128&lt;&gt;"INSUMO",$A128&lt;&gt;"")</formula>
    </cfRule>
    <cfRule type="expression" dxfId="5" priority="2" stopIfTrue="1">
      <formula>AND(OR($A128="COMPOSICAO",$A128="INSUMO",$A128&lt;&gt;""),$A128&lt;&gt;"")</formula>
    </cfRule>
  </conditionalFormatting>
  <conditionalFormatting sqref="J128:J129">
    <cfRule type="expression" dxfId="4" priority="5" stopIfTrue="1">
      <formula>AND($A128&lt;&gt;"COMPOSICAO",$A128&lt;&gt;"INSUMO",$A128&lt;&gt;"")</formula>
    </cfRule>
    <cfRule type="expression" dxfId="3" priority="6" stopIfTrue="1">
      <formula>AND(OR($A128="COMPOSICAO",$A128="INSUMO",$A128&lt;&gt;""),$A128&lt;&gt;"")</formula>
    </cfRule>
  </conditionalFormatting>
  <conditionalFormatting sqref="I128:I129">
    <cfRule type="expression" dxfId="2" priority="3" stopIfTrue="1">
      <formula>AND($A128&lt;&gt;"COMPOSICAO",$A128&lt;&gt;"INSUMO",$A128&lt;&gt;"")</formula>
    </cfRule>
    <cfRule type="expression" dxfId="1"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7 I277 J277 A126:A127 A99:A100 A73:A74 A153:A154 A85:A86 A112:A113 A164:A165 A218:A219 A231:A232 A243:A244 A204:A205 A192:A193 A176:A177 H285:H287 A280:A28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37" workbookViewId="0">
      <selection activeCell="E38" sqref="E38"/>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134"/>
      <c r="B1" s="135"/>
      <c r="C1" s="135"/>
      <c r="D1" s="135"/>
      <c r="E1" s="135"/>
      <c r="F1" s="136"/>
    </row>
    <row r="2" spans="1:6">
      <c r="A2" s="129"/>
      <c r="B2" s="45"/>
      <c r="C2" s="45"/>
      <c r="D2" s="45"/>
      <c r="E2" s="45"/>
      <c r="F2" s="130"/>
    </row>
    <row r="3" spans="1:6">
      <c r="A3" s="129"/>
      <c r="B3" s="2136" t="s">
        <v>135</v>
      </c>
      <c r="C3" s="2136"/>
      <c r="D3" s="2136"/>
      <c r="E3" s="2136"/>
      <c r="F3" s="2137"/>
    </row>
    <row r="4" spans="1:6">
      <c r="A4" s="129"/>
      <c r="B4" s="2136" t="s">
        <v>136</v>
      </c>
      <c r="C4" s="2136"/>
      <c r="D4" s="2136"/>
      <c r="E4" s="2136"/>
      <c r="F4" s="2137"/>
    </row>
    <row r="5" spans="1:6">
      <c r="A5" s="129"/>
      <c r="B5" s="2145" t="s">
        <v>296</v>
      </c>
      <c r="C5" s="2145"/>
      <c r="D5" s="2145"/>
      <c r="E5" s="2145"/>
      <c r="F5" s="2146"/>
    </row>
    <row r="6" spans="1:6" ht="15.75" thickBot="1">
      <c r="A6" s="1492"/>
      <c r="B6" s="1834"/>
      <c r="C6" s="1834"/>
      <c r="D6" s="1834"/>
      <c r="E6" s="1834"/>
      <c r="F6" s="1835"/>
    </row>
    <row r="7" spans="1:6" ht="6" customHeight="1" thickBot="1"/>
    <row r="8" spans="1:6">
      <c r="A8" s="248" t="s">
        <v>0</v>
      </c>
      <c r="B8" s="135" t="str">
        <f>'PLANILHA SEM DESON'!B8:C8</f>
        <v>364778/2019</v>
      </c>
      <c r="C8" s="135"/>
      <c r="D8" s="135"/>
      <c r="E8" s="249" t="s">
        <v>139</v>
      </c>
      <c r="F8" s="695">
        <f>'PLANILHA SEM DESON'!I11</f>
        <v>44412</v>
      </c>
    </row>
    <row r="9" spans="1:6">
      <c r="A9" s="218" t="s">
        <v>1</v>
      </c>
      <c r="B9" s="45" t="str">
        <f>'PLANILHA SEM DESON'!B9:C9</f>
        <v>CONSTRUÇÃO DE DIRETORIA DE UNIDADE DESCONCENTRADA DA SEMA - DUDS</v>
      </c>
      <c r="C9" s="45"/>
      <c r="D9" s="45"/>
      <c r="E9" s="45"/>
      <c r="F9" s="130"/>
    </row>
    <row r="10" spans="1:6">
      <c r="A10" s="218" t="s">
        <v>2</v>
      </c>
      <c r="B10" s="45" t="str">
        <f>'PLANILHA SEM DESON'!B10:C10</f>
        <v>RUA 24 A - JARDIM TANGARA II</v>
      </c>
      <c r="C10" s="45"/>
      <c r="D10" s="45"/>
      <c r="E10" s="45"/>
      <c r="F10" s="130"/>
    </row>
    <row r="11" spans="1:6">
      <c r="A11" s="218" t="s">
        <v>4</v>
      </c>
      <c r="B11" s="45" t="str">
        <f>'PLANILHA SEM DESON'!B11:C11</f>
        <v>TANGARÁ DA SERRA - MT</v>
      </c>
      <c r="C11" s="45"/>
      <c r="D11" s="45"/>
      <c r="E11" s="45"/>
      <c r="F11" s="130"/>
    </row>
    <row r="12" spans="1:6" ht="15.75" thickBot="1">
      <c r="A12" s="1836" t="s">
        <v>6</v>
      </c>
      <c r="B12" s="1834" t="str">
        <f>'PLANILHA SEM DESON'!B12</f>
        <v xml:space="preserve">CONSTRUÇÃO </v>
      </c>
      <c r="C12" s="1834"/>
      <c r="D12" s="1834"/>
      <c r="E12" s="1834"/>
      <c r="F12" s="1835"/>
    </row>
    <row r="13" spans="1:6" ht="6" customHeight="1" thickBot="1">
      <c r="A13" s="45"/>
    </row>
    <row r="14" spans="1:6" ht="16.5" thickBot="1">
      <c r="A14" s="2241" t="s">
        <v>2003</v>
      </c>
      <c r="B14" s="2242"/>
      <c r="C14" s="2242"/>
      <c r="D14" s="2242"/>
      <c r="E14" s="2242"/>
      <c r="F14" s="2243"/>
    </row>
    <row r="15" spans="1:6" ht="25.5">
      <c r="A15" s="424" t="s">
        <v>2000</v>
      </c>
      <c r="B15" s="422" t="s">
        <v>2004</v>
      </c>
      <c r="C15" s="152" t="s">
        <v>48</v>
      </c>
      <c r="D15" s="2211"/>
      <c r="E15" s="2212"/>
      <c r="F15" s="155"/>
    </row>
    <row r="16" spans="1:6" ht="15" customHeight="1">
      <c r="A16" s="2207" t="s">
        <v>2005</v>
      </c>
      <c r="B16" s="2208"/>
      <c r="C16" s="2208"/>
      <c r="D16" s="2208"/>
      <c r="E16" s="2208"/>
      <c r="F16" s="2209"/>
    </row>
    <row r="17" spans="1:8" ht="30">
      <c r="A17" s="90"/>
      <c r="B17" s="91" t="s">
        <v>58</v>
      </c>
      <c r="C17" s="92" t="s">
        <v>51</v>
      </c>
      <c r="D17" s="93" t="s">
        <v>52</v>
      </c>
      <c r="E17" s="105" t="s">
        <v>64</v>
      </c>
      <c r="F17" s="94" t="s">
        <v>54</v>
      </c>
    </row>
    <row r="18" spans="1:8">
      <c r="A18" s="1310">
        <v>88270</v>
      </c>
      <c r="B18" s="401" t="s">
        <v>2006</v>
      </c>
      <c r="C18" s="97" t="s">
        <v>59</v>
      </c>
      <c r="D18" s="228">
        <v>0.2</v>
      </c>
      <c r="E18" s="207">
        <v>20.260000000000002</v>
      </c>
      <c r="F18" s="229">
        <f>TRUNC((D18*E18),2)</f>
        <v>4.05</v>
      </c>
    </row>
    <row r="19" spans="1:8">
      <c r="A19" s="95"/>
      <c r="B19" s="96"/>
      <c r="C19" s="97" t="s">
        <v>43</v>
      </c>
      <c r="D19" s="98" t="s">
        <v>43</v>
      </c>
      <c r="E19" s="299" t="s">
        <v>60</v>
      </c>
      <c r="F19" s="1395">
        <f>SUM(F18:F18)</f>
        <v>4.05</v>
      </c>
    </row>
    <row r="20" spans="1:8" ht="30">
      <c r="A20" s="95"/>
      <c r="B20" s="1389" t="s">
        <v>98</v>
      </c>
      <c r="C20" s="92" t="s">
        <v>51</v>
      </c>
      <c r="D20" s="93" t="s">
        <v>52</v>
      </c>
      <c r="E20" s="105" t="s">
        <v>64</v>
      </c>
      <c r="F20" s="94" t="s">
        <v>54</v>
      </c>
    </row>
    <row r="21" spans="1:8">
      <c r="A21" s="358">
        <v>3777</v>
      </c>
      <c r="B21" s="208" t="s">
        <v>2113</v>
      </c>
      <c r="C21" s="97" t="s">
        <v>48</v>
      </c>
      <c r="D21" s="232">
        <v>1.1000000000000001</v>
      </c>
      <c r="E21" s="228">
        <v>0.92</v>
      </c>
      <c r="F21" s="229">
        <f>TRUNC((D21*E21),2)</f>
        <v>1.01</v>
      </c>
    </row>
    <row r="22" spans="1:8">
      <c r="A22" s="138"/>
      <c r="B22" s="194"/>
      <c r="C22" s="146"/>
      <c r="D22" s="195"/>
      <c r="E22" s="299" t="s">
        <v>60</v>
      </c>
      <c r="F22" s="94">
        <f>SUM(F21:F21)</f>
        <v>1.01</v>
      </c>
    </row>
    <row r="23" spans="1:8" ht="15.75" thickBot="1">
      <c r="A23" s="1377"/>
      <c r="B23" s="2123" t="s">
        <v>55</v>
      </c>
      <c r="C23" s="2123"/>
      <c r="D23" s="2123"/>
      <c r="E23" s="2123"/>
      <c r="F23" s="1391">
        <f>F19+F22</f>
        <v>5.0599999999999996</v>
      </c>
    </row>
    <row r="24" spans="1:8" ht="15.75" thickBot="1">
      <c r="A24" s="907"/>
      <c r="B24" s="908"/>
      <c r="C24" s="906"/>
      <c r="D24" s="905"/>
      <c r="E24" s="522"/>
      <c r="F24" s="522"/>
    </row>
    <row r="25" spans="1:8" ht="25.5">
      <c r="A25" s="424" t="s">
        <v>2001</v>
      </c>
      <c r="B25" s="771" t="s">
        <v>2267</v>
      </c>
      <c r="C25" s="433" t="s">
        <v>56</v>
      </c>
      <c r="D25" s="153"/>
      <c r="E25" s="154"/>
      <c r="F25" s="246"/>
    </row>
    <row r="26" spans="1:8">
      <c r="A26" s="2207" t="s">
        <v>2262</v>
      </c>
      <c r="B26" s="2208"/>
      <c r="C26" s="2208"/>
      <c r="D26" s="2208"/>
      <c r="E26" s="2208"/>
      <c r="F26" s="2209"/>
    </row>
    <row r="27" spans="1:8" ht="25.5">
      <c r="A27" s="260"/>
      <c r="B27" s="434" t="s">
        <v>58</v>
      </c>
      <c r="C27" s="435" t="s">
        <v>51</v>
      </c>
      <c r="D27" s="436" t="s">
        <v>52</v>
      </c>
      <c r="E27" s="437" t="s">
        <v>64</v>
      </c>
      <c r="F27" s="438" t="s">
        <v>54</v>
      </c>
      <c r="H27" s="457"/>
    </row>
    <row r="28" spans="1:8" ht="25.5">
      <c r="A28" s="426">
        <v>88239</v>
      </c>
      <c r="B28" s="208" t="s">
        <v>483</v>
      </c>
      <c r="C28" s="337" t="s">
        <v>59</v>
      </c>
      <c r="D28" s="440">
        <v>0.123</v>
      </c>
      <c r="E28" s="206">
        <v>18.79</v>
      </c>
      <c r="F28" s="1903">
        <f>TRUNC((D28*E28),2)</f>
        <v>2.31</v>
      </c>
    </row>
    <row r="29" spans="1:8" ht="25.5">
      <c r="A29" s="426">
        <v>88262</v>
      </c>
      <c r="B29" s="208" t="s">
        <v>468</v>
      </c>
      <c r="C29" s="337" t="s">
        <v>59</v>
      </c>
      <c r="D29" s="440">
        <v>7.4999999999999997E-2</v>
      </c>
      <c r="E29" s="206">
        <v>22.16</v>
      </c>
      <c r="F29" s="1903">
        <f>TRUNC((D29*E29),2)</f>
        <v>1.66</v>
      </c>
    </row>
    <row r="30" spans="1:8">
      <c r="A30" s="1493">
        <v>88309</v>
      </c>
      <c r="B30" s="208" t="s">
        <v>107</v>
      </c>
      <c r="C30" s="337" t="s">
        <v>59</v>
      </c>
      <c r="D30" s="440">
        <v>0.02</v>
      </c>
      <c r="E30" s="206">
        <v>22.41</v>
      </c>
      <c r="F30" s="1903">
        <f>TRUNC((D30*E30),2)</f>
        <v>0.44</v>
      </c>
    </row>
    <row r="31" spans="1:8">
      <c r="A31" s="1493">
        <v>88316</v>
      </c>
      <c r="B31" s="208" t="s">
        <v>68</v>
      </c>
      <c r="C31" s="337" t="s">
        <v>59</v>
      </c>
      <c r="D31" s="440">
        <v>0.06</v>
      </c>
      <c r="E31" s="206">
        <v>17.82</v>
      </c>
      <c r="F31" s="1903">
        <f>TRUNC((D31*E31),2)</f>
        <v>1.06</v>
      </c>
    </row>
    <row r="32" spans="1:8">
      <c r="A32" s="1904"/>
      <c r="B32" s="1320"/>
      <c r="C32" s="337" t="s">
        <v>43</v>
      </c>
      <c r="D32" s="441" t="s">
        <v>43</v>
      </c>
      <c r="E32" s="442" t="s">
        <v>60</v>
      </c>
      <c r="F32" s="1905">
        <f>SUM(F28:F31)</f>
        <v>5.4700000000000006</v>
      </c>
    </row>
    <row r="33" spans="1:6" ht="25.5">
      <c r="A33" s="1904"/>
      <c r="B33" s="1906" t="s">
        <v>98</v>
      </c>
      <c r="C33" s="371" t="s">
        <v>51</v>
      </c>
      <c r="D33" s="443" t="s">
        <v>52</v>
      </c>
      <c r="E33" s="444" t="s">
        <v>64</v>
      </c>
      <c r="F33" s="1905" t="s">
        <v>54</v>
      </c>
    </row>
    <row r="34" spans="1:6" ht="38.25">
      <c r="A34" s="426">
        <v>102475</v>
      </c>
      <c r="B34" s="208" t="s">
        <v>2266</v>
      </c>
      <c r="C34" s="337" t="s">
        <v>49</v>
      </c>
      <c r="D34" s="445">
        <v>0.01</v>
      </c>
      <c r="E34" s="228">
        <v>579.16</v>
      </c>
      <c r="F34" s="1903">
        <f>TRUNC((D34*E34),2)</f>
        <v>5.79</v>
      </c>
    </row>
    <row r="35" spans="1:6" ht="63.75">
      <c r="A35" s="1493">
        <v>92915</v>
      </c>
      <c r="B35" s="208" t="s">
        <v>2263</v>
      </c>
      <c r="C35" s="337" t="s">
        <v>104</v>
      </c>
      <c r="D35" s="445">
        <v>0.72</v>
      </c>
      <c r="E35" s="228">
        <v>17.64</v>
      </c>
      <c r="F35" s="1903">
        <f>TRUNC((D35*E35),2)</f>
        <v>12.7</v>
      </c>
    </row>
    <row r="36" spans="1:6">
      <c r="A36" s="1493">
        <v>5069</v>
      </c>
      <c r="B36" s="208" t="s">
        <v>2264</v>
      </c>
      <c r="C36" s="337" t="s">
        <v>104</v>
      </c>
      <c r="D36" s="445">
        <v>0.01</v>
      </c>
      <c r="E36" s="228">
        <v>26.08</v>
      </c>
      <c r="F36" s="1903">
        <f>TRUNC((D36*E36),2)</f>
        <v>0.26</v>
      </c>
    </row>
    <row r="37" spans="1:6" ht="25.5">
      <c r="A37" s="1493">
        <v>6189</v>
      </c>
      <c r="B37" s="208" t="s">
        <v>2265</v>
      </c>
      <c r="C37" s="337" t="s">
        <v>56</v>
      </c>
      <c r="D37" s="445">
        <v>0.22189999999999999</v>
      </c>
      <c r="E37" s="228">
        <v>23.78</v>
      </c>
      <c r="F37" s="1903">
        <f>TRUNC((D37*E37),2)</f>
        <v>5.27</v>
      </c>
    </row>
    <row r="38" spans="1:6" ht="15.75" thickBot="1">
      <c r="A38" s="210"/>
      <c r="B38" s="369"/>
      <c r="C38" s="1766"/>
      <c r="D38" s="448"/>
      <c r="E38" s="449" t="s">
        <v>60</v>
      </c>
      <c r="F38" s="410">
        <f>SUM(F34:F37)</f>
        <v>24.02</v>
      </c>
    </row>
    <row r="39" spans="1:6" ht="12.75" customHeight="1" thickBot="1">
      <c r="A39" s="1377"/>
      <c r="B39" s="2108" t="s">
        <v>55</v>
      </c>
      <c r="C39" s="2108"/>
      <c r="D39" s="2108"/>
      <c r="E39" s="2108"/>
      <c r="F39" s="1378">
        <f>F32+F38</f>
        <v>29.490000000000002</v>
      </c>
    </row>
    <row r="40" spans="1:6" ht="3.75" customHeight="1" thickBot="1"/>
    <row r="41" spans="1:6" ht="36" customHeight="1" thickBot="1">
      <c r="A41" s="2124" t="s">
        <v>145</v>
      </c>
      <c r="B41" s="2125"/>
      <c r="C41" s="2036" t="s">
        <v>124</v>
      </c>
      <c r="D41" s="2036"/>
      <c r="E41" s="2036"/>
      <c r="F41" s="2037"/>
    </row>
  </sheetData>
  <mergeCells count="11">
    <mergeCell ref="B3:F3"/>
    <mergeCell ref="B4:F4"/>
    <mergeCell ref="B5:F5"/>
    <mergeCell ref="A14:F14"/>
    <mergeCell ref="A16:F16"/>
    <mergeCell ref="A41:B41"/>
    <mergeCell ref="C41:F41"/>
    <mergeCell ref="A26:F26"/>
    <mergeCell ref="B39:E39"/>
    <mergeCell ref="D15:E15"/>
    <mergeCell ref="B23:E23"/>
  </mergeCells>
  <printOptions horizontalCentered="1"/>
  <pageMargins left="0.51181102362204722" right="0.51181102362204722" top="0.78740157480314965" bottom="0.78740157480314965" header="0.31496062992125984" footer="0.31496062992125984"/>
  <pageSetup paperSize="9" scale="7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4"/>
  <sheetViews>
    <sheetView topLeftCell="A781" workbookViewId="0">
      <selection activeCell="B316" sqref="B316"/>
    </sheetView>
  </sheetViews>
  <sheetFormatPr defaultRowHeight="15"/>
  <cols>
    <col min="1" max="1" width="19.85546875" customWidth="1"/>
    <col min="2" max="2" width="22.42578125" customWidth="1"/>
    <col min="3" max="3" width="14.140625" customWidth="1"/>
    <col min="4" max="4" width="13.7109375" customWidth="1"/>
    <col min="5" max="6" width="13.140625" customWidth="1"/>
    <col min="7" max="7" width="15.85546875" customWidth="1"/>
    <col min="9" max="9" width="11.85546875" customWidth="1"/>
    <col min="10" max="10" width="12.28515625" customWidth="1"/>
    <col min="11" max="11" width="11.28515625" customWidth="1"/>
  </cols>
  <sheetData>
    <row r="1" spans="1:13">
      <c r="A1" s="2511" t="s">
        <v>135</v>
      </c>
      <c r="B1" s="2512"/>
      <c r="C1" s="2512"/>
      <c r="D1" s="2512"/>
      <c r="E1" s="2512"/>
      <c r="F1" s="2512"/>
      <c r="G1" s="2513"/>
      <c r="H1" s="1005"/>
      <c r="I1" s="1005"/>
      <c r="J1" s="1005"/>
      <c r="K1" s="1005"/>
      <c r="L1" s="1005"/>
      <c r="M1" s="1005"/>
    </row>
    <row r="2" spans="1:13">
      <c r="A2" s="2514" t="s">
        <v>311</v>
      </c>
      <c r="B2" s="2515"/>
      <c r="C2" s="2515"/>
      <c r="D2" s="2515"/>
      <c r="E2" s="2515"/>
      <c r="F2" s="2515"/>
      <c r="G2" s="2303"/>
      <c r="H2" s="1005"/>
      <c r="I2" s="1005"/>
      <c r="J2" s="1005"/>
      <c r="K2" s="1005"/>
      <c r="L2" s="1005"/>
      <c r="M2" s="1005"/>
    </row>
    <row r="3" spans="1:13">
      <c r="A3" s="2514" t="s">
        <v>296</v>
      </c>
      <c r="B3" s="2515"/>
      <c r="C3" s="2515"/>
      <c r="D3" s="2515"/>
      <c r="E3" s="2515"/>
      <c r="F3" s="2515"/>
      <c r="G3" s="2303"/>
      <c r="H3" s="1005"/>
      <c r="I3" s="1005"/>
      <c r="J3" s="1005"/>
      <c r="K3" s="1005"/>
      <c r="L3" s="1005"/>
      <c r="M3" s="1005"/>
    </row>
    <row r="4" spans="1:13">
      <c r="A4" s="1006"/>
      <c r="B4" s="1007"/>
      <c r="C4" s="1007"/>
      <c r="D4" s="1007"/>
      <c r="E4" s="1007"/>
      <c r="F4" s="1007"/>
      <c r="G4" s="1008"/>
      <c r="H4" s="1005"/>
      <c r="I4" s="1005"/>
      <c r="J4" s="1005"/>
      <c r="K4" s="1005"/>
      <c r="L4" s="1005"/>
      <c r="M4" s="1005"/>
    </row>
    <row r="5" spans="1:13">
      <c r="A5" s="1009" t="s">
        <v>312</v>
      </c>
      <c r="B5" s="2516" t="s">
        <v>677</v>
      </c>
      <c r="C5" s="2516"/>
      <c r="D5" s="2516"/>
      <c r="E5" s="2516"/>
      <c r="F5" s="2516"/>
      <c r="G5" s="1010"/>
      <c r="H5" s="1005"/>
      <c r="I5" s="1005"/>
      <c r="J5" s="1005"/>
      <c r="K5" s="1005"/>
      <c r="L5" s="1005"/>
      <c r="M5" s="1005"/>
    </row>
    <row r="6" spans="1:13">
      <c r="A6" s="1009" t="s">
        <v>313</v>
      </c>
      <c r="B6" s="2517" t="s">
        <v>678</v>
      </c>
      <c r="C6" s="2517"/>
      <c r="D6" s="2517"/>
      <c r="E6" s="2517"/>
      <c r="F6" s="1011" t="s">
        <v>314</v>
      </c>
      <c r="G6" s="1012"/>
      <c r="H6" s="1005"/>
      <c r="I6" s="1005"/>
      <c r="J6" s="1005"/>
      <c r="K6" s="1005"/>
      <c r="L6" s="1005"/>
      <c r="M6" s="1005"/>
    </row>
    <row r="7" spans="1:13">
      <c r="A7" s="1013" t="s">
        <v>315</v>
      </c>
      <c r="B7" s="1014" t="s">
        <v>679</v>
      </c>
      <c r="C7" s="1014"/>
      <c r="D7" s="1014"/>
      <c r="E7" s="1014"/>
      <c r="F7" s="1015" t="s">
        <v>316</v>
      </c>
      <c r="G7" s="1016" t="s">
        <v>680</v>
      </c>
      <c r="H7" s="1005"/>
      <c r="I7" s="1005"/>
      <c r="J7" s="1005"/>
      <c r="K7" s="1005"/>
      <c r="L7" s="1005"/>
      <c r="M7" s="1005"/>
    </row>
    <row r="8" spans="1:13" ht="15.75" thickBot="1">
      <c r="A8" s="1349" t="s">
        <v>317</v>
      </c>
      <c r="B8" s="1251" t="s">
        <v>668</v>
      </c>
      <c r="C8" s="1251"/>
      <c r="D8" s="1251"/>
      <c r="E8" s="1251"/>
      <c r="F8" s="1350"/>
      <c r="G8" s="1351"/>
      <c r="H8" s="1005"/>
      <c r="I8" s="1005"/>
      <c r="J8" s="1005"/>
      <c r="K8" s="1005"/>
      <c r="L8" s="1005"/>
      <c r="M8" s="1005"/>
    </row>
    <row r="9" spans="1:13" ht="15.75" thickBot="1">
      <c r="A9" s="2518" t="s">
        <v>681</v>
      </c>
      <c r="B9" s="2519"/>
      <c r="C9" s="2519"/>
      <c r="D9" s="2519"/>
      <c r="E9" s="2519"/>
      <c r="F9" s="2519"/>
      <c r="G9" s="2520"/>
      <c r="H9" s="1005"/>
      <c r="I9" s="1005"/>
      <c r="J9" s="1005"/>
      <c r="K9" s="1005"/>
      <c r="L9" s="1005"/>
      <c r="M9" s="1005"/>
    </row>
    <row r="10" spans="1:13" ht="15.75" thickBot="1">
      <c r="A10" s="1019" t="s">
        <v>294</v>
      </c>
      <c r="B10" s="2262" t="s">
        <v>318</v>
      </c>
      <c r="C10" s="2263"/>
      <c r="D10" s="2263"/>
      <c r="E10" s="2263"/>
      <c r="F10" s="2263"/>
      <c r="G10" s="2264"/>
      <c r="H10" s="1005"/>
      <c r="I10" s="1020" t="s">
        <v>489</v>
      </c>
      <c r="J10" s="1005"/>
      <c r="K10" s="1005"/>
      <c r="L10" s="1005"/>
      <c r="M10" s="1005"/>
    </row>
    <row r="11" spans="1:13" ht="15.75" thickBot="1">
      <c r="A11" s="1021"/>
      <c r="B11" s="1022"/>
      <c r="C11" s="1022"/>
      <c r="D11" s="1022"/>
      <c r="E11" s="1022"/>
      <c r="F11" s="1022"/>
      <c r="G11" s="1023"/>
      <c r="H11" s="1005"/>
      <c r="I11" s="1005"/>
      <c r="J11" s="1005"/>
      <c r="K11" s="1005"/>
      <c r="L11" s="1005"/>
      <c r="M11" s="1005"/>
    </row>
    <row r="12" spans="1:13" ht="15.75" thickBot="1">
      <c r="A12" s="1019" t="s">
        <v>15</v>
      </c>
      <c r="B12" s="2262" t="s">
        <v>125</v>
      </c>
      <c r="C12" s="2263"/>
      <c r="D12" s="2263"/>
      <c r="E12" s="2263"/>
      <c r="F12" s="2263"/>
      <c r="G12" s="2264"/>
      <c r="H12" s="1005"/>
      <c r="I12" s="1020" t="s">
        <v>489</v>
      </c>
      <c r="J12" s="1005"/>
      <c r="K12" s="1005"/>
      <c r="L12" s="1005"/>
      <c r="M12" s="1005"/>
    </row>
    <row r="13" spans="1:13" ht="15.75" thickBot="1">
      <c r="A13" s="1024"/>
      <c r="B13" s="1025"/>
      <c r="C13" s="1025"/>
      <c r="D13" s="1025"/>
      <c r="E13" s="1025"/>
      <c r="F13" s="1025"/>
      <c r="G13" s="1026"/>
      <c r="H13" s="1005"/>
      <c r="I13" s="1005"/>
      <c r="J13" s="1005"/>
      <c r="K13" s="1005"/>
      <c r="L13" s="1005"/>
      <c r="M13" s="1005"/>
    </row>
    <row r="14" spans="1:13" ht="15.75" thickBot="1">
      <c r="A14" s="1019" t="s">
        <v>193</v>
      </c>
      <c r="B14" s="2262" t="s">
        <v>319</v>
      </c>
      <c r="C14" s="2263"/>
      <c r="D14" s="2263"/>
      <c r="E14" s="2263"/>
      <c r="F14" s="2263"/>
      <c r="G14" s="2264"/>
      <c r="H14" s="1005"/>
      <c r="I14" s="1005"/>
      <c r="J14" s="1005"/>
      <c r="K14" s="1005"/>
      <c r="L14" s="1005"/>
      <c r="M14" s="1005"/>
    </row>
    <row r="15" spans="1:13">
      <c r="A15" s="2265" t="s">
        <v>320</v>
      </c>
      <c r="B15" s="2266"/>
      <c r="C15" s="2266"/>
      <c r="D15" s="2266"/>
      <c r="E15" s="2266"/>
      <c r="F15" s="2266"/>
      <c r="G15" s="2267"/>
      <c r="H15" s="1005"/>
      <c r="I15" s="1005"/>
      <c r="J15" s="1005"/>
      <c r="K15" s="1005"/>
      <c r="L15" s="1005"/>
      <c r="M15" s="1005"/>
    </row>
    <row r="16" spans="1:13">
      <c r="A16" s="2346" t="s">
        <v>321</v>
      </c>
      <c r="B16" s="2502"/>
      <c r="C16" s="2502"/>
      <c r="D16" s="2502"/>
      <c r="E16" s="2502"/>
      <c r="F16" s="2502"/>
      <c r="G16" s="2503"/>
      <c r="H16" s="1005"/>
      <c r="I16" s="1005"/>
      <c r="J16" s="1005"/>
      <c r="K16" s="1005"/>
      <c r="L16" s="1005"/>
      <c r="M16" s="1005"/>
    </row>
    <row r="17" spans="1:13">
      <c r="A17" s="2504"/>
      <c r="B17" s="2505"/>
      <c r="C17" s="1027" t="s">
        <v>322</v>
      </c>
      <c r="D17" s="2506" t="s">
        <v>323</v>
      </c>
      <c r="E17" s="2506"/>
      <c r="F17" s="2506"/>
      <c r="G17" s="2507"/>
      <c r="H17" s="1005"/>
      <c r="I17" s="1005"/>
      <c r="J17" s="1005"/>
      <c r="K17" s="1005"/>
      <c r="L17" s="1005"/>
      <c r="M17" s="1005"/>
    </row>
    <row r="18" spans="1:13" ht="27.75" customHeight="1">
      <c r="A18" s="2504"/>
      <c r="B18" s="2505"/>
      <c r="C18" s="1028">
        <f>2.5*5</f>
        <v>12.5</v>
      </c>
      <c r="D18" s="2508" t="s">
        <v>682</v>
      </c>
      <c r="E18" s="2508"/>
      <c r="F18" s="2508"/>
      <c r="G18" s="2509"/>
      <c r="H18" s="1005"/>
      <c r="I18" s="1005"/>
      <c r="J18" s="1005"/>
      <c r="K18" s="1005"/>
      <c r="L18" s="1005"/>
      <c r="M18" s="1005"/>
    </row>
    <row r="19" spans="1:13" ht="15.75" thickBot="1">
      <c r="A19" s="2525" t="s">
        <v>324</v>
      </c>
      <c r="B19" s="2526"/>
      <c r="C19" s="1029">
        <f>SUM(C18:C18)</f>
        <v>12.5</v>
      </c>
      <c r="D19" s="2527"/>
      <c r="E19" s="2528"/>
      <c r="F19" s="2528"/>
      <c r="G19" s="2529"/>
      <c r="H19" s="1005"/>
      <c r="I19" s="1005"/>
      <c r="J19" s="1005"/>
      <c r="K19" s="1005"/>
      <c r="L19" s="1005"/>
      <c r="M19" s="1005"/>
    </row>
    <row r="20" spans="1:13" ht="15.75" thickBot="1">
      <c r="A20" s="1024"/>
      <c r="B20" s="1030"/>
      <c r="C20" s="1031"/>
      <c r="D20" s="1032"/>
      <c r="E20" s="1032"/>
      <c r="F20" s="1032"/>
      <c r="G20" s="1033"/>
      <c r="H20" s="1005"/>
      <c r="I20" s="1005"/>
      <c r="J20" s="1005"/>
      <c r="K20" s="1005"/>
      <c r="L20" s="1005"/>
      <c r="M20" s="1005"/>
    </row>
    <row r="21" spans="1:13" ht="15.75" thickBot="1">
      <c r="A21" s="1019" t="s">
        <v>194</v>
      </c>
      <c r="B21" s="2262" t="s">
        <v>683</v>
      </c>
      <c r="C21" s="2263"/>
      <c r="D21" s="2263"/>
      <c r="E21" s="2263"/>
      <c r="F21" s="2263"/>
      <c r="G21" s="2264"/>
      <c r="H21" s="1005"/>
      <c r="I21" s="1020" t="s">
        <v>489</v>
      </c>
      <c r="J21" s="1005"/>
      <c r="K21" s="1005"/>
      <c r="L21" s="1005"/>
      <c r="M21" s="1005"/>
    </row>
    <row r="22" spans="1:13">
      <c r="A22" s="2348" t="s">
        <v>320</v>
      </c>
      <c r="B22" s="2530"/>
      <c r="C22" s="2530"/>
      <c r="D22" s="2530"/>
      <c r="E22" s="2530"/>
      <c r="F22" s="2530"/>
      <c r="G22" s="2531"/>
      <c r="H22" s="1005"/>
      <c r="I22" s="1005"/>
      <c r="J22" s="1005"/>
      <c r="K22" s="1005"/>
      <c r="L22" s="1005"/>
      <c r="M22" s="1005"/>
    </row>
    <row r="23" spans="1:13">
      <c r="A23" s="2532" t="s">
        <v>684</v>
      </c>
      <c r="B23" s="2533"/>
      <c r="C23" s="2533"/>
      <c r="D23" s="2533"/>
      <c r="E23" s="2533"/>
      <c r="F23" s="2533"/>
      <c r="G23" s="2534"/>
      <c r="H23" s="1005"/>
      <c r="I23" s="1005"/>
      <c r="J23" s="1005"/>
      <c r="K23" s="1005"/>
      <c r="L23" s="1005"/>
      <c r="M23" s="1005"/>
    </row>
    <row r="24" spans="1:13">
      <c r="A24" s="1034" t="s">
        <v>339</v>
      </c>
      <c r="B24" s="1035" t="s">
        <v>685</v>
      </c>
      <c r="C24" s="1036" t="s">
        <v>379</v>
      </c>
      <c r="D24" s="1035" t="s">
        <v>327</v>
      </c>
      <c r="E24" s="2273" t="s">
        <v>323</v>
      </c>
      <c r="F24" s="2274"/>
      <c r="G24" s="2275"/>
      <c r="H24" s="1005"/>
      <c r="I24" s="1005"/>
      <c r="J24" s="1005"/>
      <c r="K24" s="1005"/>
      <c r="L24" s="1005"/>
      <c r="M24" s="1005"/>
    </row>
    <row r="25" spans="1:13" ht="24">
      <c r="A25" s="1037" t="s">
        <v>686</v>
      </c>
      <c r="B25" s="1038">
        <f>25.29+44.8+73.76+38.45</f>
        <v>182.3</v>
      </c>
      <c r="C25" s="1039">
        <v>2</v>
      </c>
      <c r="D25" s="1038">
        <f>B25*C25</f>
        <v>364.6</v>
      </c>
      <c r="E25" s="2269" t="s">
        <v>687</v>
      </c>
      <c r="F25" s="2269"/>
      <c r="G25" s="2270"/>
      <c r="H25" s="1005"/>
      <c r="I25" s="1005"/>
      <c r="J25" s="1005"/>
      <c r="K25" s="1005"/>
      <c r="L25" s="1005"/>
      <c r="M25" s="1005"/>
    </row>
    <row r="26" spans="1:13" ht="15.75" thickBot="1">
      <c r="A26" s="2495" t="s">
        <v>324</v>
      </c>
      <c r="B26" s="2407"/>
      <c r="C26" s="2496"/>
      <c r="D26" s="1040">
        <f>D25</f>
        <v>364.6</v>
      </c>
      <c r="E26" s="1040"/>
      <c r="F26" s="1040"/>
      <c r="G26" s="1041"/>
      <c r="H26" s="1005"/>
      <c r="I26" s="1005"/>
      <c r="J26" s="1005"/>
      <c r="K26" s="1005"/>
      <c r="L26" s="1005"/>
      <c r="M26" s="1005"/>
    </row>
    <row r="27" spans="1:13" ht="15.75" thickBot="1">
      <c r="A27" s="1042"/>
      <c r="B27" s="1043"/>
      <c r="C27" s="1043"/>
      <c r="D27" s="1044"/>
      <c r="E27" s="1044"/>
      <c r="F27" s="1044"/>
      <c r="G27" s="1045"/>
      <c r="H27" s="1005"/>
      <c r="I27" s="1005"/>
      <c r="J27" s="1005"/>
      <c r="K27" s="1005"/>
      <c r="L27" s="1005"/>
      <c r="M27" s="1005"/>
    </row>
    <row r="28" spans="1:13" ht="29.25" customHeight="1" thickBot="1">
      <c r="A28" s="1046" t="s">
        <v>195</v>
      </c>
      <c r="B28" s="2497" t="s">
        <v>688</v>
      </c>
      <c r="C28" s="2498"/>
      <c r="D28" s="2498"/>
      <c r="E28" s="2498"/>
      <c r="F28" s="2498"/>
      <c r="G28" s="2499"/>
      <c r="H28" s="1005"/>
      <c r="I28" s="1020" t="s">
        <v>489</v>
      </c>
      <c r="J28" s="1005"/>
      <c r="K28" s="1005"/>
      <c r="L28" s="1005"/>
      <c r="M28" s="1005"/>
    </row>
    <row r="29" spans="1:13">
      <c r="A29" s="2281" t="s">
        <v>320</v>
      </c>
      <c r="B29" s="2282"/>
      <c r="C29" s="2282"/>
      <c r="D29" s="2282"/>
      <c r="E29" s="2282"/>
      <c r="F29" s="2282"/>
      <c r="G29" s="2283"/>
      <c r="H29" s="1005"/>
      <c r="I29" s="1005"/>
      <c r="J29" s="1005"/>
      <c r="K29" s="1005"/>
      <c r="L29" s="1005"/>
      <c r="M29" s="1005"/>
    </row>
    <row r="30" spans="1:13">
      <c r="A30" s="2482" t="s">
        <v>684</v>
      </c>
      <c r="B30" s="2483"/>
      <c r="C30" s="2483"/>
      <c r="D30" s="2483"/>
      <c r="E30" s="2483"/>
      <c r="F30" s="2483"/>
      <c r="G30" s="2484"/>
      <c r="H30" s="1005"/>
      <c r="I30" s="1005"/>
      <c r="J30" s="1005"/>
      <c r="K30" s="1005"/>
      <c r="L30" s="1005"/>
      <c r="M30" s="1005"/>
    </row>
    <row r="31" spans="1:13">
      <c r="A31" s="1047" t="s">
        <v>325</v>
      </c>
      <c r="B31" s="2485" t="s">
        <v>326</v>
      </c>
      <c r="C31" s="2486"/>
      <c r="D31" s="1048" t="s">
        <v>327</v>
      </c>
      <c r="E31" s="2485" t="s">
        <v>323</v>
      </c>
      <c r="F31" s="2487"/>
      <c r="G31" s="2488"/>
      <c r="H31" s="1005"/>
      <c r="I31" s="1005"/>
      <c r="J31" s="1005"/>
      <c r="K31" s="1005"/>
      <c r="L31" s="1005"/>
      <c r="M31" s="1005"/>
    </row>
    <row r="32" spans="1:13">
      <c r="A32" s="1049" t="s">
        <v>689</v>
      </c>
      <c r="B32" s="2278" t="s">
        <v>690</v>
      </c>
      <c r="C32" s="2252"/>
      <c r="D32" s="1050">
        <f>4.25*3.2</f>
        <v>13.600000000000001</v>
      </c>
      <c r="E32" s="2357" t="s">
        <v>328</v>
      </c>
      <c r="F32" s="2358"/>
      <c r="G32" s="2359"/>
      <c r="H32" s="1051"/>
      <c r="I32" s="1005"/>
      <c r="J32" s="1005"/>
      <c r="K32" s="1005"/>
      <c r="L32" s="1005"/>
      <c r="M32" s="1005"/>
    </row>
    <row r="33" spans="1:13">
      <c r="A33" s="1052" t="s">
        <v>691</v>
      </c>
      <c r="B33" s="2336" t="s">
        <v>692</v>
      </c>
      <c r="C33" s="2524"/>
      <c r="D33" s="1053">
        <f>3*3</f>
        <v>9</v>
      </c>
      <c r="E33" s="2360"/>
      <c r="F33" s="2361"/>
      <c r="G33" s="2362"/>
      <c r="H33" s="1051"/>
      <c r="I33" s="1005"/>
      <c r="J33" s="1005"/>
      <c r="K33" s="1005"/>
      <c r="L33" s="1005"/>
      <c r="M33" s="1005"/>
    </row>
    <row r="34" spans="1:13">
      <c r="A34" s="1052" t="s">
        <v>693</v>
      </c>
      <c r="B34" s="2336" t="s">
        <v>694</v>
      </c>
      <c r="C34" s="2524"/>
      <c r="D34" s="1053">
        <f>(4.25*5.5)</f>
        <v>23.375</v>
      </c>
      <c r="E34" s="2360"/>
      <c r="F34" s="2361"/>
      <c r="G34" s="2362"/>
      <c r="H34" s="1051"/>
      <c r="I34" s="1005"/>
      <c r="J34" s="1005"/>
      <c r="K34" s="1005"/>
      <c r="L34" s="1005"/>
      <c r="M34" s="1005"/>
    </row>
    <row r="35" spans="1:13">
      <c r="A35" s="1052" t="s">
        <v>695</v>
      </c>
      <c r="B35" s="2336" t="s">
        <v>329</v>
      </c>
      <c r="C35" s="2524"/>
      <c r="D35" s="1053">
        <f>(4.25*5.5)</f>
        <v>23.375</v>
      </c>
      <c r="E35" s="2521"/>
      <c r="F35" s="2522"/>
      <c r="G35" s="2523"/>
      <c r="H35" s="1051"/>
      <c r="I35" s="1005"/>
      <c r="J35" s="1005"/>
      <c r="K35" s="1005"/>
      <c r="L35" s="1005"/>
      <c r="M35" s="1005"/>
    </row>
    <row r="36" spans="1:13" ht="15.75" thickBot="1">
      <c r="A36" s="1054"/>
      <c r="B36" s="1055"/>
      <c r="C36" s="1056" t="s">
        <v>324</v>
      </c>
      <c r="D36" s="1057">
        <f>SUM(D32:D35)</f>
        <v>69.349999999999994</v>
      </c>
      <c r="E36" s="1058"/>
      <c r="F36" s="1059"/>
      <c r="G36" s="1060"/>
      <c r="H36" s="1005"/>
      <c r="I36" s="1005"/>
      <c r="J36" s="1005"/>
      <c r="K36" s="1005"/>
      <c r="L36" s="1005"/>
      <c r="M36" s="1005"/>
    </row>
    <row r="37" spans="1:13" ht="15.75" thickBot="1">
      <c r="A37" s="1061"/>
      <c r="B37" s="1062"/>
      <c r="C37" s="1063"/>
      <c r="D37" s="1064"/>
      <c r="E37" s="1064"/>
      <c r="F37" s="1064"/>
      <c r="G37" s="1065"/>
      <c r="H37" s="1005"/>
      <c r="I37" s="1005"/>
      <c r="J37" s="1005"/>
      <c r="K37" s="1005"/>
      <c r="L37" s="1005"/>
      <c r="M37" s="1005"/>
    </row>
    <row r="38" spans="1:13" ht="15.75" thickBot="1">
      <c r="A38" s="1019" t="s">
        <v>196</v>
      </c>
      <c r="B38" s="2262" t="s">
        <v>330</v>
      </c>
      <c r="C38" s="2263"/>
      <c r="D38" s="2263"/>
      <c r="E38" s="2263"/>
      <c r="F38" s="2263"/>
      <c r="G38" s="2264"/>
      <c r="H38" s="1005"/>
      <c r="I38" s="1020" t="s">
        <v>489</v>
      </c>
      <c r="J38" s="1005"/>
      <c r="K38" s="1005"/>
      <c r="L38" s="1005"/>
      <c r="M38" s="1005"/>
    </row>
    <row r="39" spans="1:13">
      <c r="A39" s="2281" t="s">
        <v>320</v>
      </c>
      <c r="B39" s="2282"/>
      <c r="C39" s="2282"/>
      <c r="D39" s="2282"/>
      <c r="E39" s="2282"/>
      <c r="F39" s="2282"/>
      <c r="G39" s="2283"/>
      <c r="H39" s="1005"/>
      <c r="I39" s="1005"/>
      <c r="J39" s="1005"/>
      <c r="K39" s="1005"/>
      <c r="L39" s="1005"/>
      <c r="M39" s="1005"/>
    </row>
    <row r="40" spans="1:13" ht="15.75" thickBot="1">
      <c r="A40" s="2448" t="s">
        <v>331</v>
      </c>
      <c r="B40" s="2449"/>
      <c r="C40" s="2449"/>
      <c r="D40" s="2449"/>
      <c r="E40" s="2449"/>
      <c r="F40" s="2449"/>
      <c r="G40" s="2450"/>
      <c r="H40" s="1005"/>
      <c r="I40" s="1005"/>
      <c r="J40" s="1005"/>
      <c r="K40" s="1005"/>
      <c r="L40" s="1005"/>
      <c r="M40" s="1005"/>
    </row>
    <row r="41" spans="1:13" ht="15.75" thickBot="1">
      <c r="A41" s="1061"/>
      <c r="B41" s="1062"/>
      <c r="C41" s="1063"/>
      <c r="D41" s="1064"/>
      <c r="E41" s="1064"/>
      <c r="F41" s="1064"/>
      <c r="G41" s="1065"/>
      <c r="H41" s="1005"/>
      <c r="I41" s="1005"/>
      <c r="J41" s="1005"/>
      <c r="K41" s="1005"/>
      <c r="L41" s="1005"/>
      <c r="M41" s="1005"/>
    </row>
    <row r="42" spans="1:13" ht="15.75" thickBot="1">
      <c r="A42" s="1019" t="s">
        <v>197</v>
      </c>
      <c r="B42" s="2262" t="s">
        <v>332</v>
      </c>
      <c r="C42" s="2263"/>
      <c r="D42" s="2263"/>
      <c r="E42" s="2263"/>
      <c r="F42" s="2263"/>
      <c r="G42" s="2264"/>
      <c r="H42" s="1005"/>
      <c r="I42" s="1020" t="s">
        <v>489</v>
      </c>
      <c r="J42" s="1005"/>
      <c r="K42" s="1005"/>
      <c r="L42" s="1005"/>
      <c r="M42" s="1005"/>
    </row>
    <row r="43" spans="1:13">
      <c r="A43" s="2281" t="s">
        <v>320</v>
      </c>
      <c r="B43" s="2282"/>
      <c r="C43" s="2282"/>
      <c r="D43" s="2282"/>
      <c r="E43" s="2282"/>
      <c r="F43" s="2282"/>
      <c r="G43" s="2283"/>
      <c r="H43" s="1005"/>
      <c r="I43" s="1005"/>
      <c r="J43" s="1005"/>
      <c r="K43" s="1005"/>
      <c r="L43" s="1005"/>
      <c r="M43" s="1005"/>
    </row>
    <row r="44" spans="1:13" ht="15.75" thickBot="1">
      <c r="A44" s="2448" t="s">
        <v>331</v>
      </c>
      <c r="B44" s="2449"/>
      <c r="C44" s="2449"/>
      <c r="D44" s="2449"/>
      <c r="E44" s="2449"/>
      <c r="F44" s="2449"/>
      <c r="G44" s="2450"/>
      <c r="H44" s="1005"/>
      <c r="I44" s="1005"/>
      <c r="J44" s="1005"/>
      <c r="K44" s="1005"/>
      <c r="L44" s="1005"/>
      <c r="M44" s="1005"/>
    </row>
    <row r="45" spans="1:13" ht="15.75" thickBot="1">
      <c r="A45" s="1061"/>
      <c r="B45" s="1062"/>
      <c r="C45" s="1063"/>
      <c r="D45" s="1064"/>
      <c r="E45" s="1064"/>
      <c r="F45" s="1064"/>
      <c r="G45" s="1065"/>
      <c r="H45" s="1005"/>
      <c r="I45" s="1005"/>
      <c r="J45" s="1005"/>
      <c r="K45" s="1005"/>
      <c r="L45" s="1005"/>
      <c r="M45" s="1005"/>
    </row>
    <row r="46" spans="1:13" ht="15.75" thickBot="1">
      <c r="A46" s="1019" t="s">
        <v>198</v>
      </c>
      <c r="B46" s="2262" t="s">
        <v>219</v>
      </c>
      <c r="C46" s="2263"/>
      <c r="D46" s="2263"/>
      <c r="E46" s="2263"/>
      <c r="F46" s="2263"/>
      <c r="G46" s="2264"/>
      <c r="H46" s="1005"/>
      <c r="I46" s="1005"/>
      <c r="J46" s="1005"/>
      <c r="K46" s="1005"/>
      <c r="L46" s="1005"/>
      <c r="M46" s="1005"/>
    </row>
    <row r="47" spans="1:13">
      <c r="A47" s="2304" t="s">
        <v>320</v>
      </c>
      <c r="B47" s="2305"/>
      <c r="C47" s="2305"/>
      <c r="D47" s="2305"/>
      <c r="E47" s="2305"/>
      <c r="F47" s="2305"/>
      <c r="G47" s="2306"/>
      <c r="H47" s="1005"/>
      <c r="I47" s="1005"/>
      <c r="J47" s="1005"/>
      <c r="K47" s="1005"/>
      <c r="L47" s="1005"/>
      <c r="M47" s="1005"/>
    </row>
    <row r="48" spans="1:13">
      <c r="A48" s="2482" t="s">
        <v>684</v>
      </c>
      <c r="B48" s="2483"/>
      <c r="C48" s="2483"/>
      <c r="D48" s="2483"/>
      <c r="E48" s="2483"/>
      <c r="F48" s="2483"/>
      <c r="G48" s="2484"/>
      <c r="H48" s="1005"/>
      <c r="I48" s="1005"/>
      <c r="J48" s="1005">
        <f>D50*0.2</f>
        <v>299.83800000000002</v>
      </c>
      <c r="K48" s="1005"/>
      <c r="L48" s="1005"/>
      <c r="M48" s="1005"/>
    </row>
    <row r="49" spans="1:13">
      <c r="A49" s="1047" t="s">
        <v>339</v>
      </c>
      <c r="B49" s="2485" t="s">
        <v>685</v>
      </c>
      <c r="C49" s="2486"/>
      <c r="D49" s="1048" t="s">
        <v>327</v>
      </c>
      <c r="E49" s="2485" t="s">
        <v>323</v>
      </c>
      <c r="F49" s="2487"/>
      <c r="G49" s="2488"/>
      <c r="H49" s="1005"/>
      <c r="I49" s="1005"/>
      <c r="J49" s="1005"/>
      <c r="K49" s="1005"/>
      <c r="L49" s="1005"/>
      <c r="M49" s="1005"/>
    </row>
    <row r="50" spans="1:13">
      <c r="A50" s="1066" t="s">
        <v>686</v>
      </c>
      <c r="B50" s="2327">
        <f>25.29+44.8+73.76+38.45</f>
        <v>182.3</v>
      </c>
      <c r="C50" s="2328"/>
      <c r="D50" s="1038">
        <v>1499.19</v>
      </c>
      <c r="E50" s="2269" t="s">
        <v>333</v>
      </c>
      <c r="F50" s="2269"/>
      <c r="G50" s="2270"/>
      <c r="H50" s="1005"/>
      <c r="I50" s="2501" t="s">
        <v>2191</v>
      </c>
      <c r="J50" s="2501"/>
      <c r="K50" s="1005"/>
      <c r="L50" s="1005"/>
      <c r="M50" s="1005"/>
    </row>
    <row r="51" spans="1:13" ht="15.75" thickBot="1">
      <c r="A51" s="1067"/>
      <c r="B51" s="1068"/>
      <c r="C51" s="1068"/>
      <c r="D51" s="1068"/>
      <c r="E51" s="1068"/>
      <c r="F51" s="1068"/>
      <c r="G51" s="1069"/>
      <c r="H51" s="1005"/>
      <c r="I51" s="1005"/>
      <c r="J51" s="1005"/>
      <c r="K51" s="1005"/>
      <c r="L51" s="1005"/>
      <c r="M51" s="1005"/>
    </row>
    <row r="52" spans="1:13" ht="15.75" thickBot="1">
      <c r="A52" s="1019" t="s">
        <v>199</v>
      </c>
      <c r="B52" s="2262" t="s">
        <v>334</v>
      </c>
      <c r="C52" s="2263"/>
      <c r="D52" s="2263"/>
      <c r="E52" s="2263"/>
      <c r="F52" s="2263"/>
      <c r="G52" s="2264"/>
      <c r="H52" s="1005"/>
      <c r="I52" s="1020" t="s">
        <v>489</v>
      </c>
      <c r="J52" s="1005"/>
      <c r="K52" s="1005"/>
      <c r="L52" s="1005"/>
      <c r="M52" s="1005"/>
    </row>
    <row r="53" spans="1:13">
      <c r="A53" s="2281" t="s">
        <v>320</v>
      </c>
      <c r="B53" s="2282"/>
      <c r="C53" s="2282"/>
      <c r="D53" s="2282"/>
      <c r="E53" s="2282"/>
      <c r="F53" s="2282"/>
      <c r="G53" s="2283"/>
      <c r="H53" s="1005"/>
      <c r="I53" s="2500" t="s">
        <v>1527</v>
      </c>
      <c r="J53" s="2500"/>
      <c r="K53" s="2500"/>
      <c r="L53" s="2500"/>
      <c r="M53" s="2500"/>
    </row>
    <row r="54" spans="1:13" ht="15.75" thickBot="1">
      <c r="A54" s="2448" t="s">
        <v>335</v>
      </c>
      <c r="B54" s="2449"/>
      <c r="C54" s="2449"/>
      <c r="D54" s="2449"/>
      <c r="E54" s="2449"/>
      <c r="F54" s="2449"/>
      <c r="G54" s="2450"/>
      <c r="H54" s="1005"/>
      <c r="I54" s="2500"/>
      <c r="J54" s="2500"/>
      <c r="K54" s="2500"/>
      <c r="L54" s="2500"/>
      <c r="M54" s="2500"/>
    </row>
    <row r="55" spans="1:13" ht="15.75" thickBot="1">
      <c r="A55" s="1070"/>
      <c r="B55" s="1017"/>
      <c r="C55" s="1063"/>
      <c r="D55" s="1064"/>
      <c r="E55" s="1064"/>
      <c r="F55" s="1064"/>
      <c r="G55" s="1065"/>
      <c r="H55" s="1005"/>
      <c r="I55" s="1005"/>
      <c r="J55" s="1005"/>
      <c r="K55" s="1005"/>
      <c r="L55" s="1005"/>
      <c r="M55" s="1005"/>
    </row>
    <row r="56" spans="1:13" ht="15.75" thickBot="1">
      <c r="A56" s="1019" t="s">
        <v>200</v>
      </c>
      <c r="B56" s="2262" t="s">
        <v>336</v>
      </c>
      <c r="C56" s="2263"/>
      <c r="D56" s="2263"/>
      <c r="E56" s="2263"/>
      <c r="F56" s="2263"/>
      <c r="G56" s="2264"/>
      <c r="H56" s="1005"/>
      <c r="I56" s="1020" t="s">
        <v>489</v>
      </c>
      <c r="J56" s="1005"/>
      <c r="K56" s="1005"/>
      <c r="L56" s="1005"/>
      <c r="M56" s="1005"/>
    </row>
    <row r="57" spans="1:13">
      <c r="A57" s="2281" t="s">
        <v>320</v>
      </c>
      <c r="B57" s="2282"/>
      <c r="C57" s="2282"/>
      <c r="D57" s="2282"/>
      <c r="E57" s="2282"/>
      <c r="F57" s="2282"/>
      <c r="G57" s="2283"/>
      <c r="H57" s="1005"/>
      <c r="I57" s="1005"/>
      <c r="J57" s="1005"/>
      <c r="K57" s="1005"/>
      <c r="L57" s="1005"/>
      <c r="M57" s="1005"/>
    </row>
    <row r="58" spans="1:13">
      <c r="A58" s="2268" t="s">
        <v>337</v>
      </c>
      <c r="B58" s="2269"/>
      <c r="C58" s="2269"/>
      <c r="D58" s="2269"/>
      <c r="E58" s="2269"/>
      <c r="F58" s="2269"/>
      <c r="G58" s="2270"/>
      <c r="H58" s="1005"/>
      <c r="I58" s="1005"/>
      <c r="J58" s="1005"/>
      <c r="K58" s="1005"/>
      <c r="L58" s="1005"/>
      <c r="M58" s="1005"/>
    </row>
    <row r="59" spans="1:13">
      <c r="A59" s="1070"/>
      <c r="B59" s="1017"/>
      <c r="C59" s="1063"/>
      <c r="D59" s="1064"/>
      <c r="E59" s="1064"/>
      <c r="F59" s="1064"/>
      <c r="G59" s="1065"/>
      <c r="H59" s="1005"/>
      <c r="I59" s="1005"/>
      <c r="J59" s="1005"/>
      <c r="K59" s="1005"/>
      <c r="L59" s="1005"/>
      <c r="M59" s="1005"/>
    </row>
    <row r="60" spans="1:13">
      <c r="A60" s="1070"/>
      <c r="B60" s="1017"/>
      <c r="C60" s="1063"/>
      <c r="D60" s="1064"/>
      <c r="E60" s="1064"/>
      <c r="F60" s="1064"/>
      <c r="G60" s="1065"/>
      <c r="H60" s="1005"/>
      <c r="I60" s="1005"/>
      <c r="J60" s="1005"/>
      <c r="K60" s="1005"/>
      <c r="L60" s="1005"/>
      <c r="M60" s="1005"/>
    </row>
    <row r="61" spans="1:13">
      <c r="A61" s="1070"/>
      <c r="B61" s="1017"/>
      <c r="C61" s="1063"/>
      <c r="D61" s="1064"/>
      <c r="E61" s="1064"/>
      <c r="F61" s="1064"/>
      <c r="G61" s="1065"/>
      <c r="H61" s="1005"/>
      <c r="I61" s="1005"/>
      <c r="J61" s="1005"/>
      <c r="K61" s="1005"/>
      <c r="L61" s="1005"/>
      <c r="M61" s="1005"/>
    </row>
    <row r="62" spans="1:13">
      <c r="A62" s="1070"/>
      <c r="B62" s="1017"/>
      <c r="C62" s="1063"/>
      <c r="D62" s="1064"/>
      <c r="E62" s="1064"/>
      <c r="F62" s="1064"/>
      <c r="G62" s="1065"/>
      <c r="H62" s="1005"/>
      <c r="I62" s="1005"/>
      <c r="J62" s="1005"/>
      <c r="K62" s="1005"/>
      <c r="L62" s="1005"/>
      <c r="M62" s="1005"/>
    </row>
    <row r="63" spans="1:13">
      <c r="A63" s="1070"/>
      <c r="B63" s="1017"/>
      <c r="C63" s="1063"/>
      <c r="D63" s="1064"/>
      <c r="E63" s="1064"/>
      <c r="F63" s="1064"/>
      <c r="G63" s="1065"/>
      <c r="H63" s="1005"/>
      <c r="I63" s="1005"/>
      <c r="J63" s="1005"/>
      <c r="K63" s="1005"/>
      <c r="L63" s="1005"/>
      <c r="M63" s="1005"/>
    </row>
    <row r="64" spans="1:13">
      <c r="A64" s="1070"/>
      <c r="B64" s="1017"/>
      <c r="C64" s="1063"/>
      <c r="D64" s="1064"/>
      <c r="E64" s="1064"/>
      <c r="F64" s="1064"/>
      <c r="G64" s="1065"/>
      <c r="H64" s="1005"/>
      <c r="I64" s="1005"/>
      <c r="J64" s="1005"/>
      <c r="K64" s="1005"/>
      <c r="L64" s="1005"/>
      <c r="M64" s="1005"/>
    </row>
    <row r="65" spans="1:13">
      <c r="A65" s="1070"/>
      <c r="B65" s="1017"/>
      <c r="C65" s="1063"/>
      <c r="D65" s="1064"/>
      <c r="E65" s="1064"/>
      <c r="F65" s="1064"/>
      <c r="G65" s="1065"/>
      <c r="H65" s="1005"/>
      <c r="I65" s="1005"/>
      <c r="J65" s="1005"/>
      <c r="K65" s="1005"/>
      <c r="L65" s="1005"/>
      <c r="M65" s="1005"/>
    </row>
    <row r="66" spans="1:13">
      <c r="A66" s="1070"/>
      <c r="B66" s="1017"/>
      <c r="C66" s="1063"/>
      <c r="D66" s="1064"/>
      <c r="E66" s="1064"/>
      <c r="F66" s="1064"/>
      <c r="G66" s="1065"/>
      <c r="H66" s="1005"/>
      <c r="I66" s="1005"/>
      <c r="J66" s="1005"/>
      <c r="K66" s="1005"/>
      <c r="L66" s="1005"/>
      <c r="M66" s="1005"/>
    </row>
    <row r="67" spans="1:13">
      <c r="A67" s="1070"/>
      <c r="B67" s="1017"/>
      <c r="C67" s="1063"/>
      <c r="D67" s="1064"/>
      <c r="E67" s="1064"/>
      <c r="F67" s="1064"/>
      <c r="G67" s="1065"/>
      <c r="H67" s="1005"/>
      <c r="I67" s="1005"/>
      <c r="J67" s="1005"/>
      <c r="K67" s="1005"/>
      <c r="L67" s="1005"/>
      <c r="M67" s="1005"/>
    </row>
    <row r="68" spans="1:13">
      <c r="A68" s="1070"/>
      <c r="B68" s="1017"/>
      <c r="C68" s="1063"/>
      <c r="D68" s="1064"/>
      <c r="E68" s="2342" t="s">
        <v>338</v>
      </c>
      <c r="F68" s="2342"/>
      <c r="G68" s="1065"/>
      <c r="H68" s="1005"/>
      <c r="I68" s="1005"/>
      <c r="J68" s="1005"/>
      <c r="K68" s="1005"/>
      <c r="L68" s="1005"/>
      <c r="M68" s="1005"/>
    </row>
    <row r="69" spans="1:13" ht="24">
      <c r="A69" s="1034" t="s">
        <v>325</v>
      </c>
      <c r="B69" s="2273" t="s">
        <v>339</v>
      </c>
      <c r="C69" s="2272"/>
      <c r="D69" s="1035" t="s">
        <v>340</v>
      </c>
      <c r="E69" s="2273" t="s">
        <v>323</v>
      </c>
      <c r="F69" s="2274"/>
      <c r="G69" s="2275"/>
      <c r="H69" s="1005"/>
      <c r="I69" s="1005"/>
      <c r="J69" s="1005"/>
      <c r="K69" s="1005"/>
      <c r="L69" s="1005"/>
      <c r="M69" s="1005"/>
    </row>
    <row r="70" spans="1:13" ht="30.75" customHeight="1">
      <c r="A70" s="1049" t="s">
        <v>696</v>
      </c>
      <c r="B70" s="2278" t="s">
        <v>697</v>
      </c>
      <c r="C70" s="2252"/>
      <c r="D70" s="1071">
        <f>17.25+7.8+7.5+8.75+9.65+1.35+4.15+5+3.35+2.35+3.65+1.45+4.65+1.35</f>
        <v>78.25</v>
      </c>
      <c r="E70" s="2357" t="s">
        <v>698</v>
      </c>
      <c r="F70" s="2358"/>
      <c r="G70" s="2359"/>
      <c r="H70" s="1005"/>
      <c r="I70" s="1005"/>
      <c r="J70" s="1005"/>
      <c r="K70" s="1005"/>
      <c r="L70" s="1005"/>
      <c r="M70" s="1005"/>
    </row>
    <row r="71" spans="1:13" ht="15.75" thickBot="1">
      <c r="A71" s="1072"/>
      <c r="B71" s="1073"/>
      <c r="C71" s="1074" t="s">
        <v>324</v>
      </c>
      <c r="D71" s="1075">
        <f>ROUNDUP(D70,2)</f>
        <v>78.25</v>
      </c>
      <c r="E71" s="1076"/>
      <c r="F71" s="1077"/>
      <c r="G71" s="1078"/>
      <c r="H71" s="1005"/>
      <c r="I71" s="1005"/>
      <c r="J71" s="1005"/>
      <c r="K71" s="1005"/>
      <c r="L71" s="1005"/>
      <c r="M71" s="1005"/>
    </row>
    <row r="72" spans="1:13" ht="15.75" thickBot="1">
      <c r="A72" s="1079"/>
      <c r="B72" s="1080"/>
      <c r="C72" s="1081"/>
      <c r="D72" s="1082"/>
      <c r="E72" s="1083"/>
      <c r="F72" s="1083"/>
      <c r="G72" s="1084"/>
      <c r="H72" s="1005"/>
      <c r="I72" s="1005"/>
      <c r="J72" s="1005"/>
      <c r="K72" s="1005"/>
      <c r="L72" s="1005"/>
      <c r="M72" s="1005"/>
    </row>
    <row r="73" spans="1:13" ht="15.75" thickBot="1">
      <c r="A73" s="1019" t="s">
        <v>295</v>
      </c>
      <c r="B73" s="2262" t="s">
        <v>215</v>
      </c>
      <c r="C73" s="2263"/>
      <c r="D73" s="2263"/>
      <c r="E73" s="2263"/>
      <c r="F73" s="2263"/>
      <c r="G73" s="2264"/>
      <c r="H73" s="1005"/>
      <c r="I73" s="1020" t="s">
        <v>489</v>
      </c>
      <c r="J73" s="1005"/>
      <c r="K73" s="1005"/>
      <c r="L73" s="1005"/>
      <c r="M73" s="1005"/>
    </row>
    <row r="74" spans="1:13" ht="15.75" thickBot="1">
      <c r="A74" s="1085"/>
      <c r="B74" s="1017"/>
      <c r="C74" s="1063"/>
      <c r="D74" s="1086"/>
      <c r="E74" s="1087"/>
      <c r="F74" s="1087"/>
      <c r="G74" s="1088"/>
      <c r="H74" s="1005"/>
      <c r="I74" s="1005"/>
      <c r="J74" s="1005"/>
      <c r="K74" s="1005"/>
      <c r="L74" s="1005"/>
      <c r="M74" s="1005"/>
    </row>
    <row r="75" spans="1:13" ht="15.75" thickBot="1">
      <c r="A75" s="1019" t="s">
        <v>341</v>
      </c>
      <c r="B75" s="2262" t="s">
        <v>342</v>
      </c>
      <c r="C75" s="2263"/>
      <c r="D75" s="2263"/>
      <c r="E75" s="2263"/>
      <c r="F75" s="2263"/>
      <c r="G75" s="2264"/>
      <c r="H75" s="1005"/>
      <c r="I75" s="1020" t="s">
        <v>489</v>
      </c>
      <c r="J75" s="1005"/>
      <c r="K75" s="1005"/>
      <c r="L75" s="1005"/>
      <c r="M75" s="1005"/>
    </row>
    <row r="76" spans="1:13" ht="15.75" thickBot="1">
      <c r="A76" s="1085"/>
      <c r="B76" s="1017"/>
      <c r="C76" s="1063"/>
      <c r="D76" s="1086"/>
      <c r="E76" s="1087"/>
      <c r="F76" s="1087"/>
      <c r="G76" s="1088"/>
      <c r="H76" s="1005"/>
      <c r="I76" s="1005"/>
      <c r="J76" s="1005"/>
      <c r="K76" s="1005"/>
      <c r="L76" s="1005"/>
      <c r="M76" s="1005"/>
    </row>
    <row r="77" spans="1:13" ht="15.75" thickBot="1">
      <c r="A77" s="1019" t="s">
        <v>343</v>
      </c>
      <c r="B77" s="2262" t="s">
        <v>344</v>
      </c>
      <c r="C77" s="2263"/>
      <c r="D77" s="2263"/>
      <c r="E77" s="2263"/>
      <c r="F77" s="2263"/>
      <c r="G77" s="2264"/>
      <c r="H77" s="1005"/>
      <c r="I77" s="1020" t="s">
        <v>489</v>
      </c>
      <c r="J77" s="1005"/>
      <c r="K77" s="1005"/>
      <c r="L77" s="1005"/>
      <c r="M77" s="1005"/>
    </row>
    <row r="78" spans="1:13" ht="15.75" thickBot="1">
      <c r="A78" s="1085"/>
      <c r="B78" s="1017"/>
      <c r="C78" s="1063"/>
      <c r="D78" s="1086"/>
      <c r="E78" s="1087"/>
      <c r="F78" s="1087"/>
      <c r="G78" s="1088"/>
      <c r="H78" s="1005"/>
      <c r="I78" s="1005"/>
      <c r="J78" s="1005"/>
      <c r="K78" s="1005"/>
      <c r="L78" s="1005"/>
      <c r="M78" s="1005"/>
    </row>
    <row r="79" spans="1:13" ht="15.75" thickBot="1">
      <c r="A79" s="1019" t="s">
        <v>345</v>
      </c>
      <c r="B79" s="2262" t="s">
        <v>346</v>
      </c>
      <c r="C79" s="2263"/>
      <c r="D79" s="2263"/>
      <c r="E79" s="2263"/>
      <c r="F79" s="2263"/>
      <c r="G79" s="2264"/>
      <c r="H79" s="1005"/>
      <c r="I79" s="1020" t="s">
        <v>489</v>
      </c>
      <c r="J79" s="1005"/>
      <c r="K79" s="1005"/>
      <c r="L79" s="1005"/>
      <c r="M79" s="1005"/>
    </row>
    <row r="80" spans="1:13" ht="15.75" thickBot="1">
      <c r="A80" s="1085"/>
      <c r="B80" s="1017"/>
      <c r="C80" s="1063"/>
      <c r="D80" s="1086"/>
      <c r="E80" s="1087"/>
      <c r="F80" s="1087"/>
      <c r="G80" s="1088"/>
      <c r="H80" s="1005"/>
      <c r="I80" s="1005"/>
      <c r="J80" s="1005"/>
      <c r="K80" s="1005"/>
      <c r="L80" s="1005"/>
      <c r="M80" s="1005"/>
    </row>
    <row r="81" spans="1:13" ht="15.75" thickBot="1">
      <c r="A81" s="1019" t="s">
        <v>347</v>
      </c>
      <c r="B81" s="2262" t="s">
        <v>348</v>
      </c>
      <c r="C81" s="2263"/>
      <c r="D81" s="2263"/>
      <c r="E81" s="2263"/>
      <c r="F81" s="2263"/>
      <c r="G81" s="2264"/>
      <c r="H81" s="1005"/>
      <c r="I81" s="1005"/>
      <c r="J81" s="1005"/>
      <c r="K81" s="1005"/>
      <c r="L81" s="1005"/>
      <c r="M81" s="1005"/>
    </row>
    <row r="82" spans="1:13" ht="15.75" thickBot="1">
      <c r="A82" s="1019" t="s">
        <v>69</v>
      </c>
      <c r="B82" s="2262" t="s">
        <v>699</v>
      </c>
      <c r="C82" s="2263"/>
      <c r="D82" s="2263"/>
      <c r="E82" s="2263"/>
      <c r="F82" s="2263"/>
      <c r="G82" s="2264"/>
      <c r="H82" s="1005"/>
      <c r="I82" s="1020" t="s">
        <v>489</v>
      </c>
      <c r="J82" s="1005"/>
      <c r="K82" s="1005"/>
      <c r="L82" s="1005"/>
      <c r="M82" s="1005"/>
    </row>
    <row r="83" spans="1:13">
      <c r="A83" s="2535"/>
      <c r="B83" s="2536"/>
      <c r="C83" s="2536"/>
      <c r="D83" s="2536"/>
      <c r="E83" s="2536"/>
      <c r="F83" s="2536"/>
      <c r="G83" s="2537"/>
      <c r="H83" s="1089"/>
      <c r="I83" s="1005"/>
      <c r="J83" s="1005"/>
      <c r="K83" s="1005"/>
      <c r="L83" s="1005"/>
      <c r="M83" s="1005"/>
    </row>
    <row r="84" spans="1:13">
      <c r="A84" s="1090"/>
      <c r="B84" s="1091"/>
      <c r="C84" s="1091"/>
      <c r="D84" s="1091"/>
      <c r="E84" s="1091"/>
      <c r="F84" s="1091"/>
      <c r="G84" s="1092"/>
      <c r="H84" s="1089"/>
      <c r="I84" s="1005"/>
      <c r="J84" s="1005"/>
      <c r="K84" s="1005"/>
      <c r="L84" s="1005"/>
      <c r="M84" s="1005"/>
    </row>
    <row r="85" spans="1:13">
      <c r="A85" s="1090"/>
      <c r="B85" s="1091"/>
      <c r="C85" s="1091"/>
      <c r="D85" s="1091"/>
      <c r="E85" s="1091"/>
      <c r="F85" s="1091"/>
      <c r="G85" s="1092"/>
      <c r="H85" s="1089"/>
      <c r="I85" s="1005"/>
      <c r="J85" s="1005"/>
      <c r="K85" s="1005"/>
      <c r="L85" s="1005"/>
      <c r="M85" s="1005"/>
    </row>
    <row r="86" spans="1:13">
      <c r="A86" s="1090"/>
      <c r="B86" s="1091"/>
      <c r="C86" s="1091"/>
      <c r="D86" s="1091"/>
      <c r="E86" s="1091"/>
      <c r="F86" s="1091"/>
      <c r="G86" s="1092"/>
      <c r="H86" s="1089"/>
      <c r="I86" s="1005"/>
      <c r="J86" s="1005"/>
      <c r="K86" s="1005"/>
      <c r="L86" s="1005"/>
      <c r="M86" s="1005"/>
    </row>
    <row r="87" spans="1:13">
      <c r="A87" s="1090"/>
      <c r="B87" s="1091"/>
      <c r="C87" s="1091"/>
      <c r="D87" s="1091"/>
      <c r="E87" s="1091"/>
      <c r="F87" s="1091"/>
      <c r="G87" s="1092"/>
      <c r="H87" s="1089"/>
      <c r="I87" s="1005"/>
      <c r="J87" s="1005"/>
      <c r="K87" s="1005"/>
      <c r="L87" s="1005"/>
      <c r="M87" s="1005"/>
    </row>
    <row r="88" spans="1:13">
      <c r="A88" s="1090"/>
      <c r="B88" s="1091"/>
      <c r="C88" s="1091"/>
      <c r="D88" s="1091"/>
      <c r="E88" s="1091"/>
      <c r="F88" s="1091"/>
      <c r="G88" s="1092"/>
      <c r="H88" s="1089"/>
      <c r="I88" s="1005"/>
      <c r="J88" s="1005"/>
      <c r="K88" s="1005"/>
      <c r="L88" s="1005"/>
      <c r="M88" s="1005"/>
    </row>
    <row r="89" spans="1:13">
      <c r="A89" s="1090"/>
      <c r="B89" s="1091"/>
      <c r="C89" s="1091"/>
      <c r="D89" s="1091"/>
      <c r="E89" s="1091"/>
      <c r="F89" s="1091"/>
      <c r="G89" s="1092"/>
      <c r="H89" s="1089"/>
      <c r="I89" s="1005"/>
      <c r="J89" s="1005"/>
      <c r="K89" s="1005"/>
      <c r="L89" s="1005"/>
      <c r="M89" s="1005"/>
    </row>
    <row r="90" spans="1:13">
      <c r="A90" s="1090"/>
      <c r="B90" s="1091"/>
      <c r="C90" s="1091"/>
      <c r="D90" s="1091"/>
      <c r="E90" s="1091"/>
      <c r="F90" s="1091"/>
      <c r="G90" s="1092"/>
      <c r="H90" s="1089"/>
      <c r="I90" s="1005"/>
      <c r="J90" s="1005"/>
      <c r="K90" s="1005"/>
      <c r="L90" s="1005"/>
      <c r="M90" s="1005"/>
    </row>
    <row r="91" spans="1:13">
      <c r="A91" s="1090"/>
      <c r="B91" s="1091"/>
      <c r="C91" s="1091"/>
      <c r="D91" s="1091"/>
      <c r="E91" s="1091"/>
      <c r="F91" s="1091"/>
      <c r="G91" s="1092"/>
      <c r="H91" s="1089"/>
      <c r="I91" s="1005"/>
      <c r="J91" s="1005"/>
      <c r="K91" s="1005"/>
      <c r="L91" s="1005"/>
      <c r="M91" s="1005"/>
    </row>
    <row r="92" spans="1:13">
      <c r="A92" s="1090"/>
      <c r="B92" s="1091"/>
      <c r="C92" s="1091"/>
      <c r="D92" s="1091"/>
      <c r="E92" s="1091"/>
      <c r="F92" s="1091"/>
      <c r="G92" s="1092"/>
      <c r="H92" s="1089"/>
      <c r="I92" s="1005"/>
      <c r="J92" s="1005"/>
      <c r="K92" s="1005"/>
      <c r="L92" s="1005"/>
      <c r="M92" s="1005"/>
    </row>
    <row r="93" spans="1:13">
      <c r="A93" s="1090"/>
      <c r="B93" s="1091"/>
      <c r="C93" s="1091"/>
      <c r="D93" s="1091"/>
      <c r="E93" s="1091"/>
      <c r="F93" s="1091"/>
      <c r="G93" s="1092"/>
      <c r="H93" s="1089"/>
      <c r="I93" s="1005"/>
      <c r="J93" s="1005"/>
      <c r="K93" s="1005"/>
      <c r="L93" s="1005"/>
      <c r="M93" s="1005"/>
    </row>
    <row r="94" spans="1:13">
      <c r="A94" s="1090"/>
      <c r="B94" s="1091"/>
      <c r="C94" s="1091"/>
      <c r="D94" s="1091"/>
      <c r="E94" s="2342" t="s">
        <v>338</v>
      </c>
      <c r="F94" s="2342"/>
      <c r="G94" s="1092"/>
      <c r="H94" s="1089"/>
      <c r="I94" s="1005"/>
      <c r="J94" s="1005"/>
      <c r="K94" s="1005"/>
      <c r="L94" s="1005"/>
      <c r="M94" s="1005"/>
    </row>
    <row r="95" spans="1:13">
      <c r="A95" s="2494" t="s">
        <v>412</v>
      </c>
      <c r="B95" s="2487"/>
      <c r="C95" s="2487"/>
      <c r="D95" s="2487"/>
      <c r="E95" s="2487"/>
      <c r="F95" s="2487"/>
      <c r="G95" s="2488"/>
      <c r="H95" s="1089"/>
      <c r="I95" s="1005"/>
      <c r="J95" s="1005"/>
      <c r="K95" s="1005"/>
      <c r="L95" s="1005"/>
      <c r="M95" s="1005"/>
    </row>
    <row r="96" spans="1:13">
      <c r="A96" s="1034" t="s">
        <v>339</v>
      </c>
      <c r="B96" s="1035" t="s">
        <v>339</v>
      </c>
      <c r="C96" s="1035" t="s">
        <v>349</v>
      </c>
      <c r="D96" s="1035" t="s">
        <v>350</v>
      </c>
      <c r="E96" s="1035" t="s">
        <v>351</v>
      </c>
      <c r="F96" s="1035" t="s">
        <v>352</v>
      </c>
      <c r="G96" s="1093" t="s">
        <v>353</v>
      </c>
      <c r="H96" s="1089"/>
      <c r="I96" s="1005"/>
      <c r="J96" s="1005"/>
      <c r="K96" s="1005"/>
      <c r="L96" s="1005"/>
      <c r="M96" s="1005"/>
    </row>
    <row r="97" spans="1:13">
      <c r="A97" s="2387" t="s">
        <v>700</v>
      </c>
      <c r="B97" s="2388"/>
      <c r="C97" s="2388"/>
      <c r="D97" s="2388"/>
      <c r="E97" s="2388"/>
      <c r="F97" s="2388"/>
      <c r="G97" s="2389"/>
      <c r="H97" s="1089"/>
      <c r="I97" s="1005"/>
      <c r="J97" s="1005"/>
      <c r="K97" s="1005"/>
      <c r="L97" s="1005"/>
      <c r="M97" s="1005"/>
    </row>
    <row r="98" spans="1:13">
      <c r="A98" s="1094">
        <v>7.5</v>
      </c>
      <c r="B98" s="1071">
        <v>7.5</v>
      </c>
      <c r="C98" s="1071">
        <v>3</v>
      </c>
      <c r="D98" s="1071">
        <f>ROUNDUP(B98*C98,2)</f>
        <v>22.5</v>
      </c>
      <c r="E98" s="1095" t="s">
        <v>701</v>
      </c>
      <c r="F98" s="1071">
        <f>1.6*2.1</f>
        <v>3.3600000000000003</v>
      </c>
      <c r="G98" s="1096">
        <f t="shared" ref="G98:G107" si="0">ROUNDUP(D98-F98,2)</f>
        <v>19.14</v>
      </c>
      <c r="H98" s="1089"/>
      <c r="I98" s="1005"/>
      <c r="J98" s="1005"/>
      <c r="K98" s="1005"/>
      <c r="L98" s="1005"/>
      <c r="M98" s="1005"/>
    </row>
    <row r="99" spans="1:13">
      <c r="A99" s="1094">
        <v>3.35</v>
      </c>
      <c r="B99" s="1071">
        <f>A99</f>
        <v>3.35</v>
      </c>
      <c r="C99" s="1071">
        <v>3</v>
      </c>
      <c r="D99" s="1071">
        <f>B99*C99</f>
        <v>10.050000000000001</v>
      </c>
      <c r="E99" s="1095" t="s">
        <v>702</v>
      </c>
      <c r="F99" s="1071">
        <f>(0.8*2.1)</f>
        <v>1.6800000000000002</v>
      </c>
      <c r="G99" s="1096">
        <f t="shared" si="0"/>
        <v>8.3699999999999992</v>
      </c>
      <c r="H99" s="1089"/>
      <c r="I99" s="1005"/>
      <c r="J99" s="1005"/>
      <c r="K99" s="1005"/>
      <c r="L99" s="1005"/>
      <c r="M99" s="1005"/>
    </row>
    <row r="100" spans="1:13" ht="36">
      <c r="A100" s="1094">
        <v>17.25</v>
      </c>
      <c r="B100" s="1071">
        <v>17.25</v>
      </c>
      <c r="C100" s="1071">
        <v>3</v>
      </c>
      <c r="D100" s="1071">
        <f t="shared" ref="D100:D107" si="1">ROUNDUP(B100*C100,2)</f>
        <v>51.75</v>
      </c>
      <c r="E100" s="1095" t="s">
        <v>703</v>
      </c>
      <c r="F100" s="1071">
        <f>(2.3*1.1*3)+(1.1*1*2)</f>
        <v>9.7899999999999991</v>
      </c>
      <c r="G100" s="1097">
        <f t="shared" si="0"/>
        <v>41.96</v>
      </c>
      <c r="H100" s="1089"/>
      <c r="I100" s="1005"/>
      <c r="J100" s="1005"/>
      <c r="K100" s="1005"/>
      <c r="L100" s="1005"/>
      <c r="M100" s="1005"/>
    </row>
    <row r="101" spans="1:13" ht="60">
      <c r="A101" s="1094">
        <v>19.600000000000001</v>
      </c>
      <c r="B101" s="1071">
        <v>19.600000000000001</v>
      </c>
      <c r="C101" s="1071">
        <v>3.2</v>
      </c>
      <c r="D101" s="1071">
        <f t="shared" si="1"/>
        <v>62.72</v>
      </c>
      <c r="E101" s="1095" t="s">
        <v>704</v>
      </c>
      <c r="F101" s="1071">
        <f>(1*0.6*3)+(2.3*1.1*2)+(0.8*2.1)+(1.3*2.1)</f>
        <v>11.27</v>
      </c>
      <c r="G101" s="1096">
        <f t="shared" si="0"/>
        <v>51.45</v>
      </c>
      <c r="H101" s="1089"/>
      <c r="I101" s="1005"/>
      <c r="J101" s="1005"/>
      <c r="K101" s="1005"/>
      <c r="L101" s="1005"/>
      <c r="M101" s="1005"/>
    </row>
    <row r="102" spans="1:13">
      <c r="A102" s="1094">
        <v>5.8</v>
      </c>
      <c r="B102" s="1071">
        <v>5.8</v>
      </c>
      <c r="C102" s="1071">
        <v>3</v>
      </c>
      <c r="D102" s="1071">
        <f t="shared" si="1"/>
        <v>17.399999999999999</v>
      </c>
      <c r="E102" s="1095" t="s">
        <v>705</v>
      </c>
      <c r="F102" s="1071">
        <f>2.2*1.1</f>
        <v>2.4200000000000004</v>
      </c>
      <c r="G102" s="1096">
        <f t="shared" si="0"/>
        <v>14.98</v>
      </c>
      <c r="H102" s="1089"/>
      <c r="I102" s="1005"/>
      <c r="J102" s="1005"/>
      <c r="K102" s="1005"/>
      <c r="L102" s="1005"/>
      <c r="M102" s="1005"/>
    </row>
    <row r="103" spans="1:13">
      <c r="A103" s="1094">
        <v>3.65</v>
      </c>
      <c r="B103" s="1071">
        <v>3.65</v>
      </c>
      <c r="C103" s="1071">
        <v>3</v>
      </c>
      <c r="D103" s="1071">
        <f t="shared" si="1"/>
        <v>10.95</v>
      </c>
      <c r="E103" s="1095" t="s">
        <v>705</v>
      </c>
      <c r="F103" s="1071">
        <f>2.2*1.1</f>
        <v>2.4200000000000004</v>
      </c>
      <c r="G103" s="1096">
        <f t="shared" si="0"/>
        <v>8.5299999999999994</v>
      </c>
      <c r="H103" s="1089"/>
      <c r="I103" s="1005"/>
      <c r="J103" s="1005"/>
      <c r="K103" s="1005"/>
      <c r="L103" s="1005"/>
      <c r="M103" s="1005"/>
    </row>
    <row r="104" spans="1:13" ht="24">
      <c r="A104" s="1094">
        <v>4.1500000000000004</v>
      </c>
      <c r="B104" s="1071">
        <v>4.1500000000000004</v>
      </c>
      <c r="C104" s="1071">
        <v>3</v>
      </c>
      <c r="D104" s="1071">
        <f t="shared" si="1"/>
        <v>12.45</v>
      </c>
      <c r="E104" s="1095" t="s">
        <v>706</v>
      </c>
      <c r="F104" s="1071">
        <f>(0.8*2.1)+(2.3*1.1)</f>
        <v>4.21</v>
      </c>
      <c r="G104" s="1096">
        <f t="shared" si="0"/>
        <v>8.24</v>
      </c>
      <c r="H104" s="1089"/>
      <c r="I104" s="1005"/>
      <c r="J104" s="1005"/>
      <c r="K104" s="1005"/>
      <c r="L104" s="1005"/>
      <c r="M104" s="1005"/>
    </row>
    <row r="105" spans="1:13">
      <c r="A105" s="1094">
        <v>5.8</v>
      </c>
      <c r="B105" s="1071">
        <v>5.8</v>
      </c>
      <c r="C105" s="1071">
        <v>3</v>
      </c>
      <c r="D105" s="1071">
        <f t="shared" si="1"/>
        <v>17.399999999999999</v>
      </c>
      <c r="E105" s="1095" t="s">
        <v>707</v>
      </c>
      <c r="F105" s="1071">
        <f>2.2*1.1</f>
        <v>2.4200000000000004</v>
      </c>
      <c r="G105" s="1096">
        <f t="shared" si="0"/>
        <v>14.98</v>
      </c>
      <c r="H105" s="1089"/>
      <c r="I105" s="1005"/>
      <c r="J105" s="1005"/>
      <c r="K105" s="1005"/>
      <c r="L105" s="1005"/>
      <c r="M105" s="1005"/>
    </row>
    <row r="106" spans="1:13" ht="24">
      <c r="A106" s="1094">
        <v>9.8000000000000007</v>
      </c>
      <c r="B106" s="1071">
        <v>9.8000000000000007</v>
      </c>
      <c r="C106" s="1071">
        <v>3</v>
      </c>
      <c r="D106" s="1071">
        <f t="shared" si="1"/>
        <v>29.4</v>
      </c>
      <c r="E106" s="1095" t="s">
        <v>708</v>
      </c>
      <c r="F106" s="1071">
        <f>(0.6*1.1*6)</f>
        <v>3.96</v>
      </c>
      <c r="G106" s="1096">
        <f t="shared" si="0"/>
        <v>25.44</v>
      </c>
      <c r="H106" s="1089"/>
      <c r="I106" s="1005"/>
      <c r="J106" s="1005"/>
      <c r="K106" s="1005"/>
      <c r="L106" s="1005"/>
      <c r="M106" s="1005"/>
    </row>
    <row r="107" spans="1:13" ht="24">
      <c r="A107" s="1094">
        <v>6.15</v>
      </c>
      <c r="B107" s="1071">
        <v>6.15</v>
      </c>
      <c r="C107" s="1071">
        <v>3</v>
      </c>
      <c r="D107" s="1071">
        <f t="shared" si="1"/>
        <v>18.45</v>
      </c>
      <c r="E107" s="1095" t="s">
        <v>709</v>
      </c>
      <c r="F107" s="1071">
        <f>(0.8*2.1*4)</f>
        <v>6.7200000000000006</v>
      </c>
      <c r="G107" s="1096">
        <f t="shared" si="0"/>
        <v>11.73</v>
      </c>
      <c r="H107" s="1089"/>
      <c r="I107" s="1098">
        <f>SUM(G98:G107)</f>
        <v>204.82</v>
      </c>
      <c r="J107" s="1005"/>
      <c r="K107" s="1005"/>
      <c r="L107" s="1005"/>
      <c r="M107" s="1005"/>
    </row>
    <row r="108" spans="1:13">
      <c r="A108" s="2387" t="s">
        <v>356</v>
      </c>
      <c r="B108" s="2388"/>
      <c r="C108" s="2388"/>
      <c r="D108" s="2388"/>
      <c r="E108" s="2388"/>
      <c r="F108" s="2388"/>
      <c r="G108" s="2389"/>
      <c r="H108" s="1089"/>
      <c r="I108" s="1005"/>
      <c r="J108" s="1005"/>
      <c r="K108" s="1005"/>
      <c r="L108" s="1005"/>
      <c r="M108" s="1005"/>
    </row>
    <row r="109" spans="1:13" ht="24">
      <c r="A109" s="1049" t="s">
        <v>710</v>
      </c>
      <c r="B109" s="1071">
        <f>1.35+1.354+(1.85*4)+1.95</f>
        <v>12.054</v>
      </c>
      <c r="C109" s="1071">
        <v>3</v>
      </c>
      <c r="D109" s="1071">
        <f>ROUNDUP(B109*C109,2)</f>
        <v>36.169999999999995</v>
      </c>
      <c r="E109" s="1071"/>
      <c r="F109" s="1071"/>
      <c r="G109" s="1096">
        <f>ROUNDUP(D109-F109,2)</f>
        <v>36.17</v>
      </c>
      <c r="H109" s="1089"/>
      <c r="I109" s="1005"/>
      <c r="J109" s="1005"/>
      <c r="K109" s="1005"/>
      <c r="L109" s="1005"/>
      <c r="M109" s="1005"/>
    </row>
    <row r="110" spans="1:13" ht="36">
      <c r="A110" s="1049" t="s">
        <v>711</v>
      </c>
      <c r="B110" s="1071">
        <f>4.15+1.5+4.8+3.65+1.65+4.3+4</f>
        <v>24.05</v>
      </c>
      <c r="C110" s="1071">
        <v>1.22</v>
      </c>
      <c r="D110" s="1071">
        <f>B110*C110</f>
        <v>29.341000000000001</v>
      </c>
      <c r="E110" s="1071"/>
      <c r="F110" s="1071"/>
      <c r="G110" s="1096">
        <f>ROUNDUP(D110-F110,2)</f>
        <v>29.35</v>
      </c>
      <c r="H110" s="1089"/>
      <c r="I110" s="1005"/>
      <c r="J110" s="1005"/>
      <c r="K110" s="1005"/>
      <c r="L110" s="1005"/>
      <c r="M110" s="1005"/>
    </row>
    <row r="111" spans="1:13">
      <c r="A111" s="1099" t="s">
        <v>712</v>
      </c>
      <c r="B111" s="1071">
        <v>3.55</v>
      </c>
      <c r="C111" s="1100">
        <v>1.22</v>
      </c>
      <c r="D111" s="1071">
        <f>B111*C111</f>
        <v>4.3309999999999995</v>
      </c>
      <c r="E111" s="1100"/>
      <c r="F111" s="1071"/>
      <c r="G111" s="1096">
        <f>ROUNDUP(D111-F111,2)</f>
        <v>4.34</v>
      </c>
      <c r="H111" s="1089"/>
      <c r="I111" s="1098">
        <f>SUM(G109:G111)</f>
        <v>69.860000000000014</v>
      </c>
      <c r="J111" s="1005"/>
      <c r="K111" s="1005"/>
      <c r="L111" s="1005"/>
      <c r="M111" s="1005"/>
    </row>
    <row r="112" spans="1:13">
      <c r="A112" s="2387" t="s">
        <v>354</v>
      </c>
      <c r="B112" s="2388"/>
      <c r="C112" s="2388"/>
      <c r="D112" s="2388"/>
      <c r="E112" s="2388"/>
      <c r="F112" s="2388"/>
      <c r="G112" s="2389"/>
      <c r="H112" s="1089"/>
      <c r="I112" s="1005"/>
      <c r="J112" s="1005"/>
      <c r="K112" s="1005"/>
      <c r="L112" s="1005"/>
      <c r="M112" s="1005"/>
    </row>
    <row r="113" spans="1:13" ht="36">
      <c r="A113" s="1049" t="s">
        <v>713</v>
      </c>
      <c r="B113" s="1071">
        <f>7.5+4+3.35+4+4.5+5+(3.85*4)+3.75</f>
        <v>47.5</v>
      </c>
      <c r="C113" s="1071">
        <v>3</v>
      </c>
      <c r="D113" s="1071">
        <f>ROUNDUP(B113*C113,2)</f>
        <v>142.5</v>
      </c>
      <c r="E113" s="1071"/>
      <c r="F113" s="1071"/>
      <c r="G113" s="1096">
        <f>ROUNDUP(D113-F113,2)</f>
        <v>142.5</v>
      </c>
      <c r="H113" s="1089"/>
      <c r="I113" s="1005"/>
      <c r="J113" s="1005"/>
      <c r="K113" s="1005"/>
      <c r="L113" s="1005"/>
      <c r="M113" s="1005"/>
    </row>
    <row r="114" spans="1:13">
      <c r="A114" s="1049" t="s">
        <v>714</v>
      </c>
      <c r="B114" s="1071">
        <v>5.3</v>
      </c>
      <c r="C114" s="1071">
        <v>1.22</v>
      </c>
      <c r="D114" s="1071">
        <f>ROUNDUP(B114*C114,2)</f>
        <v>6.47</v>
      </c>
      <c r="E114" s="1071"/>
      <c r="F114" s="1071"/>
      <c r="G114" s="1096">
        <f>ROUNDUP(D114-F114,2)</f>
        <v>6.47</v>
      </c>
      <c r="H114" s="1005"/>
      <c r="I114" s="1005"/>
      <c r="J114" s="1005"/>
      <c r="K114" s="1005"/>
      <c r="L114" s="1005"/>
      <c r="M114" s="1005"/>
    </row>
    <row r="115" spans="1:13" ht="24">
      <c r="A115" s="1049" t="s">
        <v>715</v>
      </c>
      <c r="B115" s="1071">
        <f>17.25+7.5+7.65</f>
        <v>32.4</v>
      </c>
      <c r="C115" s="1071">
        <v>1.22</v>
      </c>
      <c r="D115" s="1071">
        <f>ROUNDUP(B115*C115,2)</f>
        <v>39.53</v>
      </c>
      <c r="E115" s="1071"/>
      <c r="F115" s="1071"/>
      <c r="G115" s="1096">
        <f>ROUNDUP(D115-F115,2)</f>
        <v>39.53</v>
      </c>
      <c r="H115" s="1005"/>
      <c r="I115" s="1005"/>
      <c r="J115" s="1005"/>
      <c r="K115" s="1005"/>
      <c r="L115" s="1005"/>
      <c r="M115" s="1005"/>
    </row>
    <row r="116" spans="1:13" ht="24">
      <c r="A116" s="1049" t="s">
        <v>716</v>
      </c>
      <c r="B116" s="1071">
        <f>4.6*2+(9.8)</f>
        <v>19</v>
      </c>
      <c r="C116" s="1071">
        <v>1.8</v>
      </c>
      <c r="D116" s="1071">
        <f>ROUNDUP(B116*C116,2)</f>
        <v>34.200000000000003</v>
      </c>
      <c r="E116" s="1071"/>
      <c r="F116" s="1071"/>
      <c r="G116" s="1096">
        <f>ROUNDUP(D116-F116,2)</f>
        <v>34.200000000000003</v>
      </c>
      <c r="H116" s="1005"/>
      <c r="I116" s="1005"/>
      <c r="J116" s="1005"/>
      <c r="K116" s="1005"/>
      <c r="L116" s="1005"/>
      <c r="M116" s="1005"/>
    </row>
    <row r="117" spans="1:13" ht="24">
      <c r="A117" s="1049" t="s">
        <v>717</v>
      </c>
      <c r="B117" s="1071">
        <f>4*2+(9.8)</f>
        <v>17.8</v>
      </c>
      <c r="C117" s="1071">
        <v>2.2799999999999998</v>
      </c>
      <c r="D117" s="1071">
        <f>ROUNDUP(B117*C117,2)</f>
        <v>40.589999999999996</v>
      </c>
      <c r="E117" s="1071"/>
      <c r="F117" s="1071"/>
      <c r="G117" s="1096">
        <f>ROUNDUP(D117-F117,2)</f>
        <v>40.590000000000003</v>
      </c>
      <c r="H117" s="1005"/>
      <c r="I117" s="1098">
        <f>SUM(G113:G117)</f>
        <v>263.28999999999996</v>
      </c>
      <c r="J117" s="1005"/>
      <c r="K117" s="1005"/>
      <c r="L117" s="1005"/>
      <c r="M117" s="1005"/>
    </row>
    <row r="118" spans="1:13">
      <c r="A118" s="2387" t="s">
        <v>718</v>
      </c>
      <c r="B118" s="2388"/>
      <c r="C118" s="2388"/>
      <c r="D118" s="2388"/>
      <c r="E118" s="2388"/>
      <c r="F118" s="2388"/>
      <c r="G118" s="2389"/>
      <c r="H118" s="1005"/>
      <c r="I118" s="1005"/>
      <c r="J118" s="1005"/>
      <c r="K118" s="1005"/>
      <c r="L118" s="1005"/>
      <c r="M118" s="1005"/>
    </row>
    <row r="119" spans="1:13">
      <c r="A119" s="1094">
        <v>2.2999999999999998</v>
      </c>
      <c r="B119" s="1071">
        <v>2.2999999999999998</v>
      </c>
      <c r="C119" s="1071">
        <v>3</v>
      </c>
      <c r="D119" s="1071">
        <f>ROUNDUP(B119*C119,2)</f>
        <v>6.9</v>
      </c>
      <c r="E119" s="1095" t="s">
        <v>719</v>
      </c>
      <c r="F119" s="1071">
        <f>(1.2*1.1)</f>
        <v>1.32</v>
      </c>
      <c r="G119" s="1096">
        <f>ROUNDUP(D119-F119,2)</f>
        <v>5.58</v>
      </c>
      <c r="H119" s="1005"/>
      <c r="I119" s="1005"/>
      <c r="J119" s="1005"/>
      <c r="K119" s="1005"/>
      <c r="L119" s="1005"/>
      <c r="M119" s="1005"/>
    </row>
    <row r="120" spans="1:13">
      <c r="A120" s="1094">
        <v>1.95</v>
      </c>
      <c r="B120" s="1071">
        <v>1.95</v>
      </c>
      <c r="C120" s="1071">
        <v>3</v>
      </c>
      <c r="D120" s="1071">
        <f>B120*C120</f>
        <v>5.85</v>
      </c>
      <c r="E120" s="1095" t="s">
        <v>720</v>
      </c>
      <c r="F120" s="1071">
        <f>(0.8*2.1)</f>
        <v>1.6800000000000002</v>
      </c>
      <c r="G120" s="1096">
        <f>ROUNDUP(D120-F120,2)</f>
        <v>4.17</v>
      </c>
      <c r="H120" s="1005"/>
      <c r="I120" s="1005"/>
      <c r="J120" s="1005"/>
      <c r="K120" s="1005"/>
      <c r="L120" s="1005"/>
      <c r="M120" s="1005"/>
    </row>
    <row r="121" spans="1:13">
      <c r="A121" s="1094">
        <v>1.35</v>
      </c>
      <c r="B121" s="1071">
        <v>1.35</v>
      </c>
      <c r="C121" s="1071">
        <v>3</v>
      </c>
      <c r="D121" s="1071">
        <f>ROUNDUP(B121*C121,2)</f>
        <v>4.05</v>
      </c>
      <c r="E121" s="1095" t="s">
        <v>721</v>
      </c>
      <c r="F121" s="1071">
        <f>(0.8*2.1)</f>
        <v>1.6800000000000002</v>
      </c>
      <c r="G121" s="1096">
        <f>ROUNDUP(D121-F121,2)</f>
        <v>2.37</v>
      </c>
      <c r="H121" s="1005"/>
      <c r="I121" s="1005"/>
      <c r="J121" s="1005"/>
      <c r="K121" s="1005"/>
      <c r="L121" s="1005"/>
      <c r="M121" s="1005"/>
    </row>
    <row r="122" spans="1:13">
      <c r="A122" s="1094">
        <v>2.5</v>
      </c>
      <c r="B122" s="1071">
        <v>2.5</v>
      </c>
      <c r="C122" s="1071">
        <v>3</v>
      </c>
      <c r="D122" s="1071">
        <f>B122*C122</f>
        <v>7.5</v>
      </c>
      <c r="E122" s="1095" t="s">
        <v>722</v>
      </c>
      <c r="F122" s="1071">
        <f>(1*2.1)</f>
        <v>2.1</v>
      </c>
      <c r="G122" s="1096">
        <f>ROUNDUP(D122-F122,2)</f>
        <v>5.4</v>
      </c>
      <c r="H122" s="1005"/>
      <c r="I122" s="1098">
        <f>SUM(G119:G122)</f>
        <v>17.520000000000003</v>
      </c>
      <c r="J122" s="1005"/>
      <c r="K122" s="1005"/>
      <c r="L122" s="1005"/>
      <c r="M122" s="1005"/>
    </row>
    <row r="123" spans="1:13">
      <c r="A123" s="2271" t="s">
        <v>323</v>
      </c>
      <c r="B123" s="2272"/>
      <c r="C123" s="2273" t="s">
        <v>723</v>
      </c>
      <c r="D123" s="2274"/>
      <c r="E123" s="2274"/>
      <c r="F123" s="2274"/>
      <c r="G123" s="2275"/>
      <c r="H123" s="1005"/>
      <c r="I123" s="1005"/>
      <c r="J123" s="1005"/>
      <c r="K123" s="1005"/>
      <c r="L123" s="1005"/>
      <c r="M123" s="1005"/>
    </row>
    <row r="124" spans="1:13">
      <c r="A124" s="2489"/>
      <c r="B124" s="2490"/>
      <c r="C124" s="2381" t="s">
        <v>700</v>
      </c>
      <c r="D124" s="2382"/>
      <c r="E124" s="2382"/>
      <c r="F124" s="2383"/>
      <c r="G124" s="1096"/>
      <c r="H124" s="1005"/>
      <c r="I124" s="1005"/>
      <c r="J124" s="1005"/>
      <c r="K124" s="1005"/>
      <c r="L124" s="1005"/>
      <c r="M124" s="1005"/>
    </row>
    <row r="125" spans="1:13">
      <c r="A125" s="2491"/>
      <c r="B125" s="2492"/>
      <c r="C125" s="2384" t="s">
        <v>324</v>
      </c>
      <c r="D125" s="2385"/>
      <c r="E125" s="2385"/>
      <c r="F125" s="2386"/>
      <c r="G125" s="1103">
        <f>G98+G99+G100+G101+G102+G103+G104+G105+G106+G107</f>
        <v>204.82</v>
      </c>
      <c r="H125" s="1005"/>
      <c r="I125" s="1101">
        <v>204.82</v>
      </c>
      <c r="J125" s="1005"/>
      <c r="K125" s="1005"/>
      <c r="L125" s="1005"/>
      <c r="M125" s="1005"/>
    </row>
    <row r="126" spans="1:13">
      <c r="A126" s="2491"/>
      <c r="B126" s="2492"/>
      <c r="C126" s="2381" t="s">
        <v>356</v>
      </c>
      <c r="D126" s="2382"/>
      <c r="E126" s="2382"/>
      <c r="F126" s="2383"/>
      <c r="G126" s="1102"/>
      <c r="H126" s="1005"/>
      <c r="I126" s="1005"/>
      <c r="J126" s="1005"/>
      <c r="K126" s="1005"/>
      <c r="L126" s="1005"/>
      <c r="M126" s="1005"/>
    </row>
    <row r="127" spans="1:13">
      <c r="A127" s="2491"/>
      <c r="B127" s="2492"/>
      <c r="C127" s="2384" t="s">
        <v>324</v>
      </c>
      <c r="D127" s="2385"/>
      <c r="E127" s="2385"/>
      <c r="F127" s="2386"/>
      <c r="G127" s="1103">
        <f>G109+G110+G111</f>
        <v>69.860000000000014</v>
      </c>
      <c r="H127" s="1005"/>
      <c r="I127" s="1005"/>
      <c r="J127" s="1005"/>
      <c r="K127" s="1005"/>
      <c r="L127" s="1005"/>
      <c r="M127" s="1005"/>
    </row>
    <row r="128" spans="1:13">
      <c r="A128" s="2491"/>
      <c r="B128" s="2492"/>
      <c r="C128" s="2381" t="s">
        <v>724</v>
      </c>
      <c r="D128" s="2382"/>
      <c r="E128" s="2382"/>
      <c r="F128" s="2383"/>
      <c r="G128" s="1104"/>
      <c r="H128" s="1005"/>
      <c r="I128" s="1005"/>
      <c r="J128" s="1005"/>
      <c r="K128" s="1005"/>
      <c r="L128" s="1005"/>
      <c r="M128" s="1005"/>
    </row>
    <row r="129" spans="1:13">
      <c r="A129" s="2491"/>
      <c r="B129" s="2492"/>
      <c r="C129" s="2384" t="s">
        <v>324</v>
      </c>
      <c r="D129" s="2385"/>
      <c r="E129" s="2385"/>
      <c r="F129" s="2386"/>
      <c r="G129" s="1103">
        <f>G113+G114+G115+G116+G117</f>
        <v>263.28999999999996</v>
      </c>
      <c r="H129" s="1005"/>
      <c r="I129" s="1005"/>
      <c r="J129" s="1005"/>
      <c r="K129" s="1005"/>
      <c r="L129" s="1005"/>
      <c r="M129" s="1005"/>
    </row>
    <row r="130" spans="1:13">
      <c r="A130" s="2491"/>
      <c r="B130" s="2492"/>
      <c r="C130" s="2381" t="s">
        <v>355</v>
      </c>
      <c r="D130" s="2382"/>
      <c r="E130" s="2382"/>
      <c r="F130" s="2383"/>
      <c r="G130" s="1096"/>
      <c r="H130" s="1005"/>
      <c r="I130" s="1005"/>
      <c r="J130" s="1005"/>
      <c r="K130" s="1005"/>
      <c r="L130" s="1005"/>
      <c r="M130" s="1005"/>
    </row>
    <row r="131" spans="1:13">
      <c r="A131" s="2265"/>
      <c r="B131" s="2493"/>
      <c r="C131" s="2384" t="s">
        <v>324</v>
      </c>
      <c r="D131" s="2385"/>
      <c r="E131" s="2385"/>
      <c r="F131" s="2386"/>
      <c r="G131" s="1105">
        <f>G121+G119+G120+G122</f>
        <v>17.520000000000003</v>
      </c>
      <c r="H131" s="1005"/>
      <c r="I131" s="1005"/>
      <c r="J131" s="1005"/>
      <c r="K131" s="1005"/>
      <c r="L131" s="1005"/>
      <c r="M131" s="1005"/>
    </row>
    <row r="132" spans="1:13" ht="15.75" thickBot="1">
      <c r="A132" s="2455"/>
      <c r="B132" s="2456"/>
      <c r="C132" s="2457" t="s">
        <v>357</v>
      </c>
      <c r="D132" s="2257"/>
      <c r="E132" s="2257"/>
      <c r="F132" s="2258"/>
      <c r="G132" s="1106">
        <f>G125+G127+G129+G131</f>
        <v>555.49</v>
      </c>
      <c r="H132" s="1005"/>
      <c r="I132" s="1005"/>
      <c r="J132" s="1005"/>
      <c r="K132" s="1005"/>
      <c r="L132" s="1005"/>
      <c r="M132" s="1005"/>
    </row>
    <row r="133" spans="1:13" ht="15.75" thickBot="1">
      <c r="A133" s="1070"/>
      <c r="B133" s="1107"/>
      <c r="C133" s="1108"/>
      <c r="D133" s="1108"/>
      <c r="E133" s="1108"/>
      <c r="F133" s="1108"/>
      <c r="G133" s="1109"/>
      <c r="H133" s="1005"/>
      <c r="I133" s="1005"/>
      <c r="J133" s="1005"/>
      <c r="K133" s="1005"/>
      <c r="L133" s="1005"/>
      <c r="M133" s="1005"/>
    </row>
    <row r="134" spans="1:13" ht="15.75" thickBot="1">
      <c r="A134" s="1019" t="s">
        <v>725</v>
      </c>
      <c r="B134" s="2262" t="s">
        <v>726</v>
      </c>
      <c r="C134" s="2263"/>
      <c r="D134" s="2263"/>
      <c r="E134" s="2263"/>
      <c r="F134" s="2263"/>
      <c r="G134" s="2264"/>
      <c r="H134" s="1005"/>
      <c r="I134" s="1020" t="s">
        <v>489</v>
      </c>
      <c r="J134" s="1005"/>
      <c r="K134" s="1005"/>
      <c r="L134" s="1005"/>
      <c r="M134" s="1005"/>
    </row>
    <row r="135" spans="1:13">
      <c r="A135" s="2304" t="s">
        <v>320</v>
      </c>
      <c r="B135" s="2305"/>
      <c r="C135" s="2305"/>
      <c r="D135" s="2305"/>
      <c r="E135" s="2305"/>
      <c r="F135" s="2305"/>
      <c r="G135" s="2306"/>
      <c r="H135" s="1005"/>
      <c r="I135" s="1005"/>
      <c r="J135" s="1005"/>
      <c r="K135" s="1005"/>
      <c r="L135" s="1005"/>
      <c r="M135" s="1005"/>
    </row>
    <row r="136" spans="1:13">
      <c r="A136" s="2268" t="s">
        <v>360</v>
      </c>
      <c r="B136" s="2269"/>
      <c r="C136" s="2269"/>
      <c r="D136" s="2269"/>
      <c r="E136" s="2269"/>
      <c r="F136" s="2269"/>
      <c r="G136" s="2270"/>
      <c r="H136" s="1005"/>
      <c r="I136" s="1005"/>
      <c r="J136" s="1005"/>
      <c r="K136" s="1005"/>
      <c r="L136" s="1005"/>
      <c r="M136" s="1005"/>
    </row>
    <row r="137" spans="1:13" ht="24">
      <c r="A137" s="1034" t="s">
        <v>339</v>
      </c>
      <c r="B137" s="1035" t="s">
        <v>727</v>
      </c>
      <c r="C137" s="1035" t="s">
        <v>728</v>
      </c>
      <c r="D137" s="1035" t="s">
        <v>399</v>
      </c>
      <c r="E137" s="2273" t="s">
        <v>323</v>
      </c>
      <c r="F137" s="2274"/>
      <c r="G137" s="2275"/>
      <c r="H137" s="1005"/>
      <c r="I137" s="1005"/>
      <c r="J137" s="1005"/>
      <c r="K137" s="1005"/>
      <c r="L137" s="1005"/>
      <c r="M137" s="1005"/>
    </row>
    <row r="138" spans="1:13">
      <c r="A138" s="2472">
        <v>4.5999999999999996</v>
      </c>
      <c r="B138" s="2475">
        <v>2.7</v>
      </c>
      <c r="C138" s="2478" t="s">
        <v>729</v>
      </c>
      <c r="D138" s="2475">
        <f>A138*B138-(0.9*2.1)</f>
        <v>10.53</v>
      </c>
      <c r="E138" s="2443"/>
      <c r="F138" s="2481"/>
      <c r="G138" s="2444"/>
      <c r="H138" s="1005"/>
      <c r="I138" s="1005"/>
      <c r="J138" s="1005"/>
      <c r="K138" s="1005"/>
      <c r="L138" s="1005"/>
      <c r="M138" s="1005"/>
    </row>
    <row r="139" spans="1:13">
      <c r="A139" s="2473"/>
      <c r="B139" s="2476"/>
      <c r="C139" s="2479"/>
      <c r="D139" s="2476"/>
      <c r="E139" s="2445"/>
      <c r="F139" s="2469"/>
      <c r="G139" s="2446"/>
      <c r="H139" s="1005"/>
      <c r="I139" s="1005"/>
      <c r="J139" s="1005"/>
      <c r="K139" s="1005"/>
      <c r="L139" s="1005"/>
      <c r="M139" s="1005"/>
    </row>
    <row r="140" spans="1:13">
      <c r="A140" s="2473"/>
      <c r="B140" s="2476"/>
      <c r="C140" s="2479"/>
      <c r="D140" s="2476"/>
      <c r="E140" s="2445"/>
      <c r="F140" s="2469"/>
      <c r="G140" s="2446"/>
      <c r="H140" s="1005"/>
      <c r="I140" s="1005"/>
      <c r="J140" s="1005"/>
      <c r="K140" s="1005"/>
      <c r="L140" s="1005"/>
      <c r="M140" s="1005"/>
    </row>
    <row r="141" spans="1:13" ht="30.75" customHeight="1">
      <c r="A141" s="2474"/>
      <c r="B141" s="2477"/>
      <c r="C141" s="2480"/>
      <c r="D141" s="2477"/>
      <c r="E141" s="2445"/>
      <c r="F141" s="2469"/>
      <c r="G141" s="2446"/>
      <c r="H141" s="1005"/>
      <c r="I141" s="1005"/>
      <c r="J141" s="1005"/>
      <c r="K141" s="1005"/>
      <c r="L141" s="1005"/>
      <c r="M141" s="1005"/>
    </row>
    <row r="142" spans="1:13" ht="15.75" thickBot="1">
      <c r="A142" s="2470"/>
      <c r="B142" s="2471"/>
      <c r="C142" s="1110" t="s">
        <v>324</v>
      </c>
      <c r="D142" s="1111">
        <f>SUM(D138:D141)</f>
        <v>10.53</v>
      </c>
      <c r="E142" s="2343"/>
      <c r="F142" s="2344"/>
      <c r="G142" s="2345"/>
      <c r="H142" s="1005"/>
      <c r="I142" s="1005"/>
      <c r="J142" s="1005"/>
      <c r="K142" s="1005"/>
      <c r="L142" s="1005"/>
      <c r="M142" s="1005"/>
    </row>
    <row r="143" spans="1:13" ht="15.75" thickBot="1">
      <c r="A143" s="1112"/>
      <c r="B143" s="1113"/>
      <c r="C143" s="1114"/>
      <c r="D143" s="1115"/>
      <c r="E143" s="1116"/>
      <c r="F143" s="1116"/>
      <c r="G143" s="1117"/>
      <c r="H143" s="1005"/>
      <c r="I143" s="1005"/>
      <c r="J143" s="1005"/>
      <c r="K143" s="1005"/>
      <c r="L143" s="1005"/>
      <c r="M143" s="1005"/>
    </row>
    <row r="144" spans="1:13" ht="15.75" thickBot="1">
      <c r="A144" s="1019" t="s">
        <v>358</v>
      </c>
      <c r="B144" s="2262" t="s">
        <v>359</v>
      </c>
      <c r="C144" s="2263"/>
      <c r="D144" s="2263"/>
      <c r="E144" s="2263"/>
      <c r="F144" s="2263"/>
      <c r="G144" s="2264"/>
      <c r="H144" s="1005"/>
      <c r="I144" s="1020" t="s">
        <v>489</v>
      </c>
      <c r="J144" s="1005"/>
      <c r="K144" s="1005"/>
      <c r="L144" s="1005"/>
      <c r="M144" s="1005"/>
    </row>
    <row r="145" spans="1:13">
      <c r="A145" s="2304" t="s">
        <v>320</v>
      </c>
      <c r="B145" s="2305"/>
      <c r="C145" s="2305"/>
      <c r="D145" s="2305"/>
      <c r="E145" s="2305"/>
      <c r="F145" s="2305"/>
      <c r="G145" s="2306"/>
      <c r="H145" s="1005"/>
      <c r="I145" s="1005"/>
      <c r="J145" s="1005"/>
      <c r="K145" s="1005"/>
      <c r="L145" s="1005"/>
      <c r="M145" s="1005"/>
    </row>
    <row r="146" spans="1:13">
      <c r="A146" s="2268" t="s">
        <v>360</v>
      </c>
      <c r="B146" s="2269"/>
      <c r="C146" s="2269"/>
      <c r="D146" s="2269"/>
      <c r="E146" s="2269"/>
      <c r="F146" s="2269"/>
      <c r="G146" s="2270"/>
      <c r="H146" s="1005"/>
      <c r="I146" s="1005"/>
      <c r="J146" s="1005"/>
      <c r="K146" s="1005"/>
      <c r="L146" s="1005"/>
      <c r="M146" s="1005"/>
    </row>
    <row r="147" spans="1:13" ht="24">
      <c r="A147" s="1034" t="s">
        <v>361</v>
      </c>
      <c r="B147" s="1035" t="s">
        <v>362</v>
      </c>
      <c r="C147" s="1035" t="s">
        <v>363</v>
      </c>
      <c r="D147" s="1035" t="s">
        <v>364</v>
      </c>
      <c r="E147" s="2273" t="s">
        <v>323</v>
      </c>
      <c r="F147" s="2274"/>
      <c r="G147" s="2275"/>
      <c r="H147" s="1005"/>
      <c r="I147" s="1005"/>
      <c r="J147" s="1005"/>
      <c r="K147" s="1005"/>
      <c r="L147" s="1005"/>
      <c r="M147" s="1005"/>
    </row>
    <row r="148" spans="1:13">
      <c r="A148" s="1118" t="s">
        <v>730</v>
      </c>
      <c r="B148" s="1038">
        <v>1.1000000000000001</v>
      </c>
      <c r="C148" s="1119" t="s">
        <v>365</v>
      </c>
      <c r="D148" s="1120">
        <f>(1.1+0.6)*11</f>
        <v>18.700000000000003</v>
      </c>
      <c r="E148" s="1121"/>
      <c r="F148" s="1122"/>
      <c r="G148" s="1123"/>
      <c r="H148" s="1005"/>
      <c r="I148" s="1005"/>
      <c r="J148" s="1005"/>
      <c r="K148" s="1005"/>
      <c r="L148" s="1005"/>
      <c r="M148" s="1005"/>
    </row>
    <row r="149" spans="1:13">
      <c r="A149" s="1118" t="s">
        <v>731</v>
      </c>
      <c r="B149" s="1038">
        <v>2.2999999999999998</v>
      </c>
      <c r="C149" s="1119" t="s">
        <v>365</v>
      </c>
      <c r="D149" s="1120">
        <f>(2.3+0.6)*6</f>
        <v>17.399999999999999</v>
      </c>
      <c r="E149" s="2445"/>
      <c r="F149" s="2469"/>
      <c r="G149" s="2446"/>
      <c r="H149" s="1005"/>
      <c r="I149" s="1051">
        <f>D149+D150</f>
        <v>23</v>
      </c>
      <c r="J149" s="1005"/>
      <c r="K149" s="1005"/>
      <c r="L149" s="1005"/>
      <c r="M149" s="1005"/>
    </row>
    <row r="150" spans="1:13">
      <c r="A150" s="1118" t="s">
        <v>732</v>
      </c>
      <c r="B150" s="1038">
        <v>2.2000000000000002</v>
      </c>
      <c r="C150" s="1119" t="s">
        <v>365</v>
      </c>
      <c r="D150" s="1120">
        <f>(2.2+0.6)*2</f>
        <v>5.6000000000000005</v>
      </c>
      <c r="E150" s="2445"/>
      <c r="F150" s="2469"/>
      <c r="G150" s="2446"/>
      <c r="H150" s="1005"/>
      <c r="I150" s="1005"/>
      <c r="J150" s="1005"/>
      <c r="K150" s="1005"/>
      <c r="L150" s="1005"/>
      <c r="M150" s="1005"/>
    </row>
    <row r="151" spans="1:13">
      <c r="A151" s="1118" t="s">
        <v>733</v>
      </c>
      <c r="B151" s="1038">
        <v>1.2</v>
      </c>
      <c r="C151" s="1119" t="s">
        <v>365</v>
      </c>
      <c r="D151" s="1120">
        <f>(2+0.6)*6</f>
        <v>15.600000000000001</v>
      </c>
      <c r="E151" s="2445"/>
      <c r="F151" s="2469"/>
      <c r="G151" s="2446"/>
      <c r="H151" s="1005"/>
      <c r="I151" s="1005"/>
      <c r="J151" s="1005"/>
      <c r="K151" s="1005"/>
      <c r="L151" s="1005"/>
      <c r="M151" s="1005"/>
    </row>
    <row r="152" spans="1:13" ht="15.75" thickBot="1">
      <c r="A152" s="2470"/>
      <c r="B152" s="2471"/>
      <c r="C152" s="1110" t="s">
        <v>324</v>
      </c>
      <c r="D152" s="1111">
        <f>SUM(D148:D151)</f>
        <v>57.300000000000004</v>
      </c>
      <c r="E152" s="2343"/>
      <c r="F152" s="2344"/>
      <c r="G152" s="2345"/>
      <c r="H152" s="1005"/>
      <c r="I152" s="1051">
        <f>D152-D150-D149</f>
        <v>34.300000000000004</v>
      </c>
      <c r="J152" s="1005"/>
      <c r="K152" s="1005"/>
      <c r="L152" s="1005"/>
      <c r="M152" s="1005"/>
    </row>
    <row r="153" spans="1:13" ht="15.75" thickBot="1">
      <c r="A153" s="1124"/>
      <c r="B153" s="1125"/>
      <c r="C153" s="1126"/>
      <c r="D153" s="1126"/>
      <c r="E153" s="1126"/>
      <c r="F153" s="1126"/>
      <c r="G153" s="1127"/>
      <c r="H153" s="1005"/>
      <c r="I153" s="1005"/>
      <c r="J153" s="1005"/>
      <c r="K153" s="1005"/>
      <c r="L153" s="1005"/>
      <c r="M153" s="1005"/>
    </row>
    <row r="154" spans="1:13" ht="15.75" thickBot="1">
      <c r="A154" s="1019" t="s">
        <v>366</v>
      </c>
      <c r="B154" s="2262" t="s">
        <v>367</v>
      </c>
      <c r="C154" s="2263"/>
      <c r="D154" s="2263"/>
      <c r="E154" s="2263"/>
      <c r="F154" s="2263"/>
      <c r="G154" s="2264"/>
      <c r="H154" s="1005"/>
      <c r="I154" s="1020" t="s">
        <v>489</v>
      </c>
      <c r="J154" s="1005"/>
      <c r="K154" s="1005"/>
      <c r="L154" s="1005"/>
      <c r="M154" s="1005"/>
    </row>
    <row r="155" spans="1:13">
      <c r="A155" s="2281" t="s">
        <v>320</v>
      </c>
      <c r="B155" s="2282"/>
      <c r="C155" s="2282"/>
      <c r="D155" s="2282"/>
      <c r="E155" s="2282"/>
      <c r="F155" s="2282"/>
      <c r="G155" s="2283"/>
      <c r="H155" s="1005"/>
      <c r="I155" s="1005"/>
      <c r="J155" s="1005"/>
      <c r="K155" s="1005"/>
      <c r="L155" s="1005"/>
      <c r="M155" s="1005"/>
    </row>
    <row r="156" spans="1:13">
      <c r="A156" s="2268" t="s">
        <v>360</v>
      </c>
      <c r="B156" s="2269"/>
      <c r="C156" s="2269"/>
      <c r="D156" s="2269"/>
      <c r="E156" s="2269"/>
      <c r="F156" s="2269"/>
      <c r="G156" s="2270"/>
      <c r="H156" s="1005"/>
      <c r="I156" s="1005"/>
      <c r="J156" s="1005"/>
      <c r="K156" s="1005"/>
      <c r="L156" s="1005"/>
      <c r="M156" s="1005"/>
    </row>
    <row r="157" spans="1:13" ht="24">
      <c r="A157" s="1034" t="s">
        <v>361</v>
      </c>
      <c r="B157" s="1035" t="s">
        <v>362</v>
      </c>
      <c r="C157" s="1035" t="s">
        <v>363</v>
      </c>
      <c r="D157" s="1035" t="s">
        <v>364</v>
      </c>
      <c r="E157" s="2273" t="s">
        <v>323</v>
      </c>
      <c r="F157" s="2274"/>
      <c r="G157" s="2275"/>
      <c r="H157" s="1005"/>
      <c r="I157" s="1005"/>
      <c r="J157" s="1005"/>
      <c r="K157" s="1005"/>
      <c r="L157" s="1005"/>
      <c r="M157" s="1005"/>
    </row>
    <row r="158" spans="1:13">
      <c r="A158" s="1118" t="s">
        <v>734</v>
      </c>
      <c r="B158" s="1038">
        <v>1.6</v>
      </c>
      <c r="C158" s="1119" t="s">
        <v>365</v>
      </c>
      <c r="D158" s="1120">
        <f>(1.6*2.1)*1</f>
        <v>3.3600000000000003</v>
      </c>
      <c r="E158" s="2445"/>
      <c r="F158" s="2469"/>
      <c r="G158" s="2446"/>
      <c r="H158" s="1005"/>
      <c r="I158" s="1005"/>
      <c r="J158" s="1005"/>
      <c r="K158" s="1005"/>
      <c r="L158" s="1005"/>
      <c r="M158" s="1005"/>
    </row>
    <row r="159" spans="1:13">
      <c r="A159" s="1118" t="s">
        <v>735</v>
      </c>
      <c r="B159" s="1038">
        <v>1.3</v>
      </c>
      <c r="C159" s="1119" t="s">
        <v>365</v>
      </c>
      <c r="D159" s="1120">
        <f>1.3*2.1*1</f>
        <v>2.7300000000000004</v>
      </c>
      <c r="E159" s="2445"/>
      <c r="F159" s="2469"/>
      <c r="G159" s="2446"/>
      <c r="H159" s="1005"/>
      <c r="I159" s="1005"/>
      <c r="J159" s="1005"/>
      <c r="K159" s="1005"/>
      <c r="L159" s="1005"/>
      <c r="M159" s="1005"/>
    </row>
    <row r="160" spans="1:13">
      <c r="A160" s="1118" t="s">
        <v>736</v>
      </c>
      <c r="B160" s="1038">
        <v>0.8</v>
      </c>
      <c r="C160" s="1119" t="s">
        <v>365</v>
      </c>
      <c r="D160" s="1120">
        <f>0.8*2.1*3</f>
        <v>5.0400000000000009</v>
      </c>
      <c r="E160" s="2445"/>
      <c r="F160" s="2469"/>
      <c r="G160" s="2446"/>
      <c r="H160" s="1005"/>
      <c r="I160" s="1005"/>
      <c r="J160" s="1005"/>
      <c r="K160" s="1005"/>
      <c r="L160" s="1005"/>
      <c r="M160" s="1005"/>
    </row>
    <row r="161" spans="1:13">
      <c r="A161" s="1118" t="s">
        <v>737</v>
      </c>
      <c r="B161" s="1038">
        <v>1</v>
      </c>
      <c r="C161" s="1119" t="s">
        <v>365</v>
      </c>
      <c r="D161" s="1120">
        <f>1*2.1*1</f>
        <v>2.1</v>
      </c>
      <c r="E161" s="2445"/>
      <c r="F161" s="2469"/>
      <c r="G161" s="2446"/>
      <c r="H161" s="1005"/>
      <c r="I161" s="1005"/>
      <c r="J161" s="1005"/>
      <c r="K161" s="1005"/>
      <c r="L161" s="1005"/>
      <c r="M161" s="1005"/>
    </row>
    <row r="162" spans="1:13">
      <c r="A162" s="1118" t="s">
        <v>738</v>
      </c>
      <c r="B162" s="1038">
        <v>1.3</v>
      </c>
      <c r="C162" s="1119" t="s">
        <v>365</v>
      </c>
      <c r="D162" s="1120">
        <f>(1.3*2.1)*1</f>
        <v>2.7300000000000004</v>
      </c>
      <c r="E162" s="2445"/>
      <c r="F162" s="2469"/>
      <c r="G162" s="2446"/>
      <c r="H162" s="1005"/>
      <c r="I162" s="1005"/>
      <c r="J162" s="1005"/>
      <c r="K162" s="1005"/>
      <c r="L162" s="1005"/>
      <c r="M162" s="1005"/>
    </row>
    <row r="163" spans="1:13">
      <c r="A163" s="1118" t="s">
        <v>739</v>
      </c>
      <c r="B163" s="1038">
        <v>0.8</v>
      </c>
      <c r="C163" s="1119" t="s">
        <v>365</v>
      </c>
      <c r="D163" s="1120">
        <f>(0.8+2.1)*1</f>
        <v>2.9000000000000004</v>
      </c>
      <c r="E163" s="2445"/>
      <c r="F163" s="2469"/>
      <c r="G163" s="2446"/>
      <c r="H163" s="1005"/>
      <c r="I163" s="1005"/>
      <c r="J163" s="1005"/>
      <c r="K163" s="1005"/>
      <c r="L163" s="1005"/>
      <c r="M163" s="1005"/>
    </row>
    <row r="164" spans="1:13">
      <c r="A164" s="1128" t="s">
        <v>740</v>
      </c>
      <c r="B164" s="1038">
        <v>0.8</v>
      </c>
      <c r="C164" s="1119" t="s">
        <v>365</v>
      </c>
      <c r="D164" s="1120">
        <f>(0.8+2.1)*5</f>
        <v>14.500000000000002</v>
      </c>
      <c r="E164" s="1129"/>
      <c r="F164" s="1064"/>
      <c r="G164" s="1065"/>
      <c r="H164" s="1005"/>
      <c r="I164" s="1005"/>
      <c r="J164" s="1005"/>
      <c r="K164" s="1005"/>
      <c r="L164" s="1005"/>
      <c r="M164" s="1005"/>
    </row>
    <row r="165" spans="1:13" ht="15.75" thickBot="1">
      <c r="A165" s="2470"/>
      <c r="B165" s="2471"/>
      <c r="C165" s="1110" t="s">
        <v>324</v>
      </c>
      <c r="D165" s="1111">
        <f>SUM(D158:D164)</f>
        <v>33.360000000000007</v>
      </c>
      <c r="E165" s="2343"/>
      <c r="F165" s="2344"/>
      <c r="G165" s="2345"/>
      <c r="H165" s="1005"/>
      <c r="I165" s="1051">
        <f>D165-D158</f>
        <v>30.000000000000007</v>
      </c>
      <c r="J165" s="1005"/>
      <c r="K165" s="1005"/>
      <c r="L165" s="1005"/>
      <c r="M165" s="1005"/>
    </row>
    <row r="166" spans="1:13" ht="15.75" thickBot="1">
      <c r="A166" s="1070"/>
      <c r="B166" s="1107"/>
      <c r="C166" s="1108"/>
      <c r="D166" s="1108"/>
      <c r="E166" s="1108"/>
      <c r="F166" s="1108"/>
      <c r="G166" s="1109"/>
      <c r="H166" s="1005"/>
      <c r="I166" s="1005"/>
      <c r="J166" s="1005"/>
      <c r="K166" s="1005"/>
      <c r="L166" s="1005"/>
      <c r="M166" s="1005"/>
    </row>
    <row r="167" spans="1:13" ht="15.75" thickBot="1">
      <c r="A167" s="1019" t="s">
        <v>368</v>
      </c>
      <c r="B167" s="2262" t="s">
        <v>369</v>
      </c>
      <c r="C167" s="2263"/>
      <c r="D167" s="2263"/>
      <c r="E167" s="2263"/>
      <c r="F167" s="2263"/>
      <c r="G167" s="2264"/>
      <c r="H167" s="1005"/>
      <c r="I167" s="1020" t="s">
        <v>489</v>
      </c>
      <c r="J167" s="1005"/>
      <c r="K167" s="1005"/>
      <c r="L167" s="1005"/>
      <c r="M167" s="1005"/>
    </row>
    <row r="168" spans="1:13">
      <c r="A168" s="2281" t="s">
        <v>320</v>
      </c>
      <c r="B168" s="2282"/>
      <c r="C168" s="2282"/>
      <c r="D168" s="2282"/>
      <c r="E168" s="2282"/>
      <c r="F168" s="2282"/>
      <c r="G168" s="2283"/>
      <c r="H168" s="1005"/>
      <c r="I168" s="1005"/>
      <c r="J168" s="1005"/>
      <c r="K168" s="1005"/>
      <c r="L168" s="1005"/>
      <c r="M168" s="1005"/>
    </row>
    <row r="169" spans="1:13">
      <c r="A169" s="2268" t="s">
        <v>360</v>
      </c>
      <c r="B169" s="2269"/>
      <c r="C169" s="2269"/>
      <c r="D169" s="2269"/>
      <c r="E169" s="2269"/>
      <c r="F169" s="2269"/>
      <c r="G169" s="2270"/>
      <c r="H169" s="1005"/>
      <c r="I169" s="1005"/>
      <c r="J169" s="1005"/>
      <c r="K169" s="1005"/>
      <c r="L169" s="1005"/>
      <c r="M169" s="1005"/>
    </row>
    <row r="170" spans="1:13" ht="24">
      <c r="A170" s="1034" t="s">
        <v>361</v>
      </c>
      <c r="B170" s="1035" t="s">
        <v>362</v>
      </c>
      <c r="C170" s="1035" t="s">
        <v>363</v>
      </c>
      <c r="D170" s="1035" t="s">
        <v>364</v>
      </c>
      <c r="E170" s="2273" t="s">
        <v>323</v>
      </c>
      <c r="F170" s="2274"/>
      <c r="G170" s="2275"/>
      <c r="H170" s="1005"/>
      <c r="I170" s="1005"/>
      <c r="J170" s="1005"/>
      <c r="K170" s="1005"/>
      <c r="L170" s="1005"/>
      <c r="M170" s="1005"/>
    </row>
    <row r="171" spans="1:13">
      <c r="A171" s="1118" t="s">
        <v>730</v>
      </c>
      <c r="B171" s="1038">
        <v>1.1000000000000001</v>
      </c>
      <c r="C171" s="1119" t="s">
        <v>365</v>
      </c>
      <c r="D171" s="1120">
        <f>(1.1+0.6)*11</f>
        <v>18.700000000000003</v>
      </c>
      <c r="E171" s="1121"/>
      <c r="F171" s="1122"/>
      <c r="G171" s="1123"/>
      <c r="H171" s="1005"/>
      <c r="I171" s="1005"/>
      <c r="J171" s="1005"/>
      <c r="K171" s="1005"/>
      <c r="L171" s="1005"/>
      <c r="M171" s="1005"/>
    </row>
    <row r="172" spans="1:13">
      <c r="A172" s="1118" t="s">
        <v>731</v>
      </c>
      <c r="B172" s="1038">
        <v>2.2999999999999998</v>
      </c>
      <c r="C172" s="1119" t="s">
        <v>365</v>
      </c>
      <c r="D172" s="1120">
        <f>(2.3+0.6)*6</f>
        <v>17.399999999999999</v>
      </c>
      <c r="E172" s="2445"/>
      <c r="F172" s="2469"/>
      <c r="G172" s="2446"/>
      <c r="H172" s="1005"/>
      <c r="I172" s="1005"/>
      <c r="J172" s="1005"/>
      <c r="K172" s="1005"/>
      <c r="L172" s="1005"/>
      <c r="M172" s="1005"/>
    </row>
    <row r="173" spans="1:13">
      <c r="A173" s="1118" t="s">
        <v>732</v>
      </c>
      <c r="B173" s="1038">
        <v>2.2000000000000002</v>
      </c>
      <c r="C173" s="1119" t="s">
        <v>365</v>
      </c>
      <c r="D173" s="1120">
        <f>(2.2+0.6)*2</f>
        <v>5.6000000000000005</v>
      </c>
      <c r="E173" s="2445"/>
      <c r="F173" s="2469"/>
      <c r="G173" s="2446"/>
      <c r="H173" s="1005"/>
      <c r="I173" s="1005"/>
      <c r="J173" s="1005"/>
      <c r="K173" s="1005"/>
      <c r="L173" s="1005"/>
      <c r="M173" s="1005"/>
    </row>
    <row r="174" spans="1:13">
      <c r="A174" s="1118" t="s">
        <v>733</v>
      </c>
      <c r="B174" s="1038">
        <v>1.2</v>
      </c>
      <c r="C174" s="1119" t="s">
        <v>365</v>
      </c>
      <c r="D174" s="1120">
        <f>(2+0.6)*6</f>
        <v>15.600000000000001</v>
      </c>
      <c r="E174" s="2445"/>
      <c r="F174" s="2469"/>
      <c r="G174" s="2446"/>
      <c r="H174" s="1005"/>
      <c r="I174" s="1005"/>
      <c r="J174" s="1005"/>
      <c r="K174" s="1005"/>
      <c r="L174" s="1005"/>
      <c r="M174" s="1005"/>
    </row>
    <row r="175" spans="1:13" ht="15.75" thickBot="1">
      <c r="A175" s="2470"/>
      <c r="B175" s="2471"/>
      <c r="C175" s="1110" t="s">
        <v>324</v>
      </c>
      <c r="D175" s="1111">
        <f>SUM(D171:D174)</f>
        <v>57.300000000000004</v>
      </c>
      <c r="E175" s="2343"/>
      <c r="F175" s="2344"/>
      <c r="G175" s="2345"/>
      <c r="H175" s="1005"/>
      <c r="I175" s="1051">
        <f>D175-D173-D172</f>
        <v>34.300000000000004</v>
      </c>
      <c r="J175" s="1005"/>
      <c r="K175" s="1005"/>
      <c r="L175" s="1005"/>
      <c r="M175" s="1005"/>
    </row>
    <row r="176" spans="1:13" ht="15.75" thickBot="1">
      <c r="A176" s="1124"/>
      <c r="B176" s="1125"/>
      <c r="C176" s="1126"/>
      <c r="D176" s="1126"/>
      <c r="E176" s="1126"/>
      <c r="F176" s="1126"/>
      <c r="G176" s="1127"/>
      <c r="H176" s="1005"/>
      <c r="I176" s="1005"/>
      <c r="J176" s="1005"/>
      <c r="K176" s="1005"/>
      <c r="L176" s="1005"/>
      <c r="M176" s="1005"/>
    </row>
    <row r="177" spans="1:13" ht="15.75" thickBot="1">
      <c r="A177" s="1019" t="s">
        <v>370</v>
      </c>
      <c r="B177" s="2262" t="s">
        <v>371</v>
      </c>
      <c r="C177" s="2263"/>
      <c r="D177" s="2263"/>
      <c r="E177" s="2263"/>
      <c r="F177" s="2263"/>
      <c r="G177" s="2264"/>
      <c r="H177" s="1005"/>
      <c r="I177" s="1005"/>
      <c r="J177" s="1005"/>
      <c r="K177" s="1005"/>
      <c r="L177" s="1005"/>
      <c r="M177" s="1005"/>
    </row>
    <row r="178" spans="1:13" ht="15.75" thickBot="1">
      <c r="A178" s="1019" t="s">
        <v>45</v>
      </c>
      <c r="B178" s="2262" t="s">
        <v>741</v>
      </c>
      <c r="C178" s="2263"/>
      <c r="D178" s="2263"/>
      <c r="E178" s="2263"/>
      <c r="F178" s="2263"/>
      <c r="G178" s="2264"/>
      <c r="H178" s="1005"/>
      <c r="I178" s="1130"/>
      <c r="J178" s="1005"/>
      <c r="K178" s="1005"/>
      <c r="L178" s="1005"/>
      <c r="M178" s="1005"/>
    </row>
    <row r="179" spans="1:13">
      <c r="A179" s="2265" t="s">
        <v>320</v>
      </c>
      <c r="B179" s="2266"/>
      <c r="C179" s="2266"/>
      <c r="D179" s="2266"/>
      <c r="E179" s="2266"/>
      <c r="F179" s="2266"/>
      <c r="G179" s="2267"/>
      <c r="H179" s="1005"/>
      <c r="I179" s="1005"/>
      <c r="J179" s="1005"/>
      <c r="K179" s="1005"/>
      <c r="L179" s="1005"/>
      <c r="M179" s="1005"/>
    </row>
    <row r="180" spans="1:13">
      <c r="A180" s="2419" t="s">
        <v>374</v>
      </c>
      <c r="B180" s="2420"/>
      <c r="C180" s="2420"/>
      <c r="D180" s="2420"/>
      <c r="E180" s="2420"/>
      <c r="F180" s="2420"/>
      <c r="G180" s="2421"/>
      <c r="H180" s="1005"/>
      <c r="I180" s="1005"/>
      <c r="J180" s="1005"/>
      <c r="K180" s="1005"/>
      <c r="L180" s="1005"/>
      <c r="M180" s="1005"/>
    </row>
    <row r="181" spans="1:13">
      <c r="A181" s="2271" t="s">
        <v>325</v>
      </c>
      <c r="B181" s="2272"/>
      <c r="C181" s="2273" t="s">
        <v>375</v>
      </c>
      <c r="D181" s="2272"/>
      <c r="E181" s="2273" t="s">
        <v>323</v>
      </c>
      <c r="F181" s="2274"/>
      <c r="G181" s="2275"/>
      <c r="H181" s="1005"/>
      <c r="I181" s="1005"/>
      <c r="J181" s="1005"/>
      <c r="K181" s="1005"/>
      <c r="L181" s="1005"/>
      <c r="M181" s="1005"/>
    </row>
    <row r="182" spans="1:13" ht="21.75" customHeight="1" thickBot="1">
      <c r="A182" s="2463" t="s">
        <v>742</v>
      </c>
      <c r="B182" s="2464"/>
      <c r="C182" s="2465">
        <v>246.01</v>
      </c>
      <c r="D182" s="2466"/>
      <c r="E182" s="2465" t="s">
        <v>373</v>
      </c>
      <c r="F182" s="2467"/>
      <c r="G182" s="2468"/>
      <c r="H182" s="1005"/>
      <c r="I182" s="1005"/>
      <c r="J182" s="1005"/>
      <c r="K182" s="1005"/>
      <c r="L182" s="1005"/>
      <c r="M182" s="1005"/>
    </row>
    <row r="183" spans="1:13" ht="15.75" thickBot="1">
      <c r="A183" s="1112"/>
      <c r="B183" s="1113"/>
      <c r="C183" s="1538"/>
      <c r="D183" s="1538"/>
      <c r="E183" s="1538"/>
      <c r="F183" s="1538"/>
      <c r="G183" s="1539"/>
      <c r="H183" s="1005"/>
      <c r="I183" s="1005"/>
      <c r="J183" s="1005"/>
      <c r="K183" s="1005"/>
      <c r="L183" s="1005"/>
      <c r="M183" s="1005"/>
    </row>
    <row r="184" spans="1:13" ht="15.75" thickBot="1">
      <c r="A184" s="1019" t="s">
        <v>74</v>
      </c>
      <c r="B184" s="2262" t="s">
        <v>743</v>
      </c>
      <c r="C184" s="2263"/>
      <c r="D184" s="2263"/>
      <c r="E184" s="2263"/>
      <c r="F184" s="2263"/>
      <c r="G184" s="2264"/>
      <c r="H184" s="1005"/>
      <c r="I184" s="1020" t="s">
        <v>489</v>
      </c>
      <c r="J184" s="1005"/>
      <c r="K184" s="1005"/>
      <c r="L184" s="1005"/>
      <c r="M184" s="1005"/>
    </row>
    <row r="185" spans="1:13">
      <c r="A185" s="2265" t="s">
        <v>320</v>
      </c>
      <c r="B185" s="2266"/>
      <c r="C185" s="2266"/>
      <c r="D185" s="2266"/>
      <c r="E185" s="2266"/>
      <c r="F185" s="2266"/>
      <c r="G185" s="2267"/>
      <c r="H185" s="1005"/>
      <c r="I185" s="1005"/>
      <c r="J185" s="1005"/>
      <c r="K185" s="1005"/>
      <c r="L185" s="1005"/>
      <c r="M185" s="1005"/>
    </row>
    <row r="186" spans="1:13">
      <c r="A186" s="2419" t="s">
        <v>374</v>
      </c>
      <c r="B186" s="2420"/>
      <c r="C186" s="2420"/>
      <c r="D186" s="2420"/>
      <c r="E186" s="2420"/>
      <c r="F186" s="2420"/>
      <c r="G186" s="2421"/>
      <c r="H186" s="1005"/>
      <c r="I186" s="1005"/>
      <c r="J186" s="1005"/>
      <c r="K186" s="1005"/>
      <c r="L186" s="1005"/>
      <c r="M186" s="1005"/>
    </row>
    <row r="187" spans="1:13">
      <c r="A187" s="2271" t="s">
        <v>325</v>
      </c>
      <c r="B187" s="2272"/>
      <c r="C187" s="2273" t="s">
        <v>375</v>
      </c>
      <c r="D187" s="2272"/>
      <c r="E187" s="2273" t="s">
        <v>323</v>
      </c>
      <c r="F187" s="2274"/>
      <c r="G187" s="2275"/>
      <c r="H187" s="1005"/>
      <c r="I187" s="1005"/>
      <c r="J187" s="1005"/>
      <c r="K187" s="1005"/>
      <c r="L187" s="1005"/>
      <c r="M187" s="1005"/>
    </row>
    <row r="188" spans="1:13" ht="24" customHeight="1">
      <c r="A188" s="2281" t="s">
        <v>742</v>
      </c>
      <c r="B188" s="2461"/>
      <c r="C188" s="2310">
        <f>C182</f>
        <v>246.01</v>
      </c>
      <c r="D188" s="2462"/>
      <c r="E188" s="2253" t="s">
        <v>373</v>
      </c>
      <c r="F188" s="2254"/>
      <c r="G188" s="2255"/>
      <c r="H188" s="1005"/>
      <c r="I188" s="1005"/>
      <c r="J188" s="1005"/>
      <c r="K188" s="1005"/>
      <c r="L188" s="1005"/>
      <c r="M188" s="1005"/>
    </row>
    <row r="189" spans="1:13" ht="15.75" thickBot="1">
      <c r="A189" s="2402"/>
      <c r="B189" s="2344"/>
      <c r="C189" s="2344"/>
      <c r="D189" s="2344"/>
      <c r="E189" s="2344"/>
      <c r="F189" s="2344"/>
      <c r="G189" s="2345"/>
      <c r="H189" s="1005"/>
      <c r="I189" s="1005"/>
      <c r="J189" s="1005"/>
      <c r="K189" s="1005"/>
      <c r="L189" s="1005"/>
      <c r="M189" s="1005"/>
    </row>
    <row r="190" spans="1:13" ht="15.75" thickBot="1">
      <c r="A190" s="1131"/>
      <c r="B190" s="1063"/>
      <c r="C190" s="1063"/>
      <c r="D190" s="1063"/>
      <c r="E190" s="1063"/>
      <c r="F190" s="1063"/>
      <c r="G190" s="1109"/>
      <c r="H190" s="1005"/>
      <c r="I190" s="1005"/>
      <c r="J190" s="1005"/>
      <c r="K190" s="1005"/>
      <c r="L190" s="1005"/>
      <c r="M190" s="1005"/>
    </row>
    <row r="191" spans="1:13" ht="15.75" thickBot="1">
      <c r="A191" s="1019" t="s">
        <v>75</v>
      </c>
      <c r="B191" s="2262" t="s">
        <v>744</v>
      </c>
      <c r="C191" s="2263"/>
      <c r="D191" s="2263"/>
      <c r="E191" s="2263"/>
      <c r="F191" s="2263"/>
      <c r="G191" s="2264"/>
      <c r="H191" s="1005"/>
      <c r="I191" s="1005"/>
      <c r="J191" s="1005"/>
      <c r="K191" s="1005"/>
      <c r="L191" s="1005"/>
      <c r="M191" s="1005"/>
    </row>
    <row r="192" spans="1:13">
      <c r="A192" s="2265" t="s">
        <v>320</v>
      </c>
      <c r="B192" s="2266"/>
      <c r="C192" s="2266"/>
      <c r="D192" s="2266"/>
      <c r="E192" s="2266"/>
      <c r="F192" s="2266"/>
      <c r="G192" s="2267"/>
      <c r="H192" s="1005"/>
      <c r="I192" s="1005"/>
      <c r="J192" s="1005"/>
      <c r="K192" s="1005"/>
      <c r="L192" s="1005"/>
      <c r="M192" s="1005"/>
    </row>
    <row r="193" spans="1:13">
      <c r="A193" s="2419" t="s">
        <v>374</v>
      </c>
      <c r="B193" s="2420"/>
      <c r="C193" s="2420"/>
      <c r="D193" s="2420"/>
      <c r="E193" s="2420"/>
      <c r="F193" s="2420"/>
      <c r="G193" s="2421"/>
      <c r="H193" s="1005"/>
      <c r="I193" s="1005"/>
      <c r="J193" s="1005"/>
      <c r="K193" s="1005"/>
      <c r="L193" s="1005"/>
      <c r="M193" s="1005"/>
    </row>
    <row r="194" spans="1:13">
      <c r="A194" s="2458" t="s">
        <v>408</v>
      </c>
      <c r="B194" s="2272"/>
      <c r="C194" s="1544" t="s">
        <v>339</v>
      </c>
      <c r="D194" s="1544" t="s">
        <v>322</v>
      </c>
      <c r="E194" s="2273" t="s">
        <v>323</v>
      </c>
      <c r="F194" s="2274"/>
      <c r="G194" s="2275"/>
      <c r="H194" s="1005"/>
      <c r="I194" s="1005"/>
      <c r="J194" s="1005"/>
      <c r="K194" s="1005"/>
      <c r="L194" s="1005"/>
      <c r="M194" s="1005"/>
    </row>
    <row r="195" spans="1:13">
      <c r="A195" s="2355" t="s">
        <v>745</v>
      </c>
      <c r="B195" s="2356"/>
      <c r="C195" s="1540">
        <v>36.450000000000003</v>
      </c>
      <c r="D195" s="1537">
        <v>33.979999999999997</v>
      </c>
      <c r="E195" s="2310"/>
      <c r="F195" s="2311"/>
      <c r="G195" s="2312"/>
      <c r="H195" s="1005"/>
      <c r="I195" s="1005"/>
      <c r="J195" s="1005"/>
      <c r="K195" s="1005"/>
      <c r="L195" s="1005"/>
      <c r="M195" s="1005"/>
    </row>
    <row r="196" spans="1:13" ht="15.75" thickBot="1">
      <c r="A196" s="1134"/>
      <c r="B196" s="1545"/>
      <c r="C196" s="1546" t="s">
        <v>324</v>
      </c>
      <c r="D196" s="1541">
        <f>SUM(D195:D195)</f>
        <v>33.979999999999997</v>
      </c>
      <c r="E196" s="2369"/>
      <c r="F196" s="2370"/>
      <c r="G196" s="2371"/>
      <c r="H196" s="1005"/>
      <c r="I196" s="1005"/>
      <c r="J196" s="1005"/>
      <c r="K196" s="1005"/>
      <c r="L196" s="1005"/>
      <c r="M196" s="1005"/>
    </row>
    <row r="197" spans="1:13" ht="15.75" thickBot="1">
      <c r="A197" s="1131"/>
      <c r="B197" s="1063"/>
      <c r="C197" s="1063"/>
      <c r="D197" s="1063"/>
      <c r="E197" s="1063"/>
      <c r="F197" s="1063"/>
      <c r="G197" s="1109"/>
      <c r="H197" s="1005"/>
      <c r="I197" s="1005"/>
      <c r="J197" s="1005"/>
      <c r="K197" s="1005"/>
      <c r="L197" s="1005"/>
      <c r="M197" s="1005"/>
    </row>
    <row r="198" spans="1:13" ht="15.75" thickBot="1">
      <c r="A198" s="1019" t="s">
        <v>376</v>
      </c>
      <c r="B198" s="2262" t="s">
        <v>73</v>
      </c>
      <c r="C198" s="2263"/>
      <c r="D198" s="2263"/>
      <c r="E198" s="2263"/>
      <c r="F198" s="2263"/>
      <c r="G198" s="2264"/>
      <c r="H198" s="1005"/>
      <c r="I198" s="1020" t="s">
        <v>489</v>
      </c>
      <c r="J198" s="1005"/>
      <c r="K198" s="1005"/>
      <c r="L198" s="1005"/>
      <c r="M198" s="1005"/>
    </row>
    <row r="199" spans="1:13" ht="21" customHeight="1">
      <c r="A199" s="1138"/>
      <c r="B199" s="1139"/>
      <c r="C199" s="1139"/>
      <c r="D199" s="1139"/>
      <c r="E199" s="1139"/>
      <c r="F199" s="1139"/>
      <c r="G199" s="1140"/>
      <c r="H199" s="1005"/>
      <c r="I199" s="1005"/>
      <c r="J199" s="1005"/>
      <c r="K199" s="1005"/>
      <c r="L199" s="1005"/>
      <c r="M199" s="1005"/>
    </row>
    <row r="200" spans="1:13" ht="20.25" customHeight="1">
      <c r="A200" s="1141"/>
      <c r="B200" s="1142"/>
      <c r="C200" s="1086"/>
      <c r="D200" s="1086"/>
      <c r="E200" s="1086"/>
      <c r="F200" s="1086"/>
      <c r="G200" s="1109"/>
      <c r="H200" s="1005"/>
      <c r="I200" s="1005"/>
      <c r="J200" s="1005"/>
      <c r="K200" s="1005"/>
      <c r="L200" s="1005"/>
      <c r="M200" s="1005"/>
    </row>
    <row r="201" spans="1:13" ht="23.25" customHeight="1">
      <c r="A201" s="1141"/>
      <c r="B201" s="1142"/>
      <c r="C201" s="1086"/>
      <c r="D201" s="1086"/>
      <c r="E201" s="1086"/>
      <c r="F201" s="1086"/>
      <c r="G201" s="1109"/>
      <c r="H201" s="1005"/>
      <c r="I201" s="1005"/>
      <c r="J201" s="1005"/>
      <c r="K201" s="1005"/>
      <c r="L201" s="1005"/>
      <c r="M201" s="1005"/>
    </row>
    <row r="202" spans="1:13" ht="18" customHeight="1">
      <c r="A202" s="1141"/>
      <c r="B202" s="1142"/>
      <c r="C202" s="1086"/>
      <c r="D202" s="1086"/>
      <c r="E202" s="1086"/>
      <c r="F202" s="1086"/>
      <c r="G202" s="1109"/>
      <c r="H202" s="1005"/>
      <c r="I202" s="1005"/>
      <c r="J202" s="1005"/>
      <c r="K202" s="1005"/>
      <c r="L202" s="1005"/>
      <c r="M202" s="1005"/>
    </row>
    <row r="203" spans="1:13" ht="21" customHeight="1">
      <c r="A203" s="1141"/>
      <c r="B203" s="1142"/>
      <c r="C203" s="1086"/>
      <c r="D203" s="1086"/>
      <c r="E203" s="1086"/>
      <c r="F203" s="1086"/>
      <c r="G203" s="1109"/>
      <c r="H203" s="1005"/>
      <c r="I203" s="1005"/>
      <c r="J203" s="1005"/>
      <c r="K203" s="1005"/>
      <c r="L203" s="1005"/>
      <c r="M203" s="1005"/>
    </row>
    <row r="204" spans="1:13" ht="21.75" customHeight="1">
      <c r="A204" s="1141"/>
      <c r="B204" s="1142"/>
      <c r="C204" s="1086"/>
      <c r="D204" s="1086"/>
      <c r="E204" s="1086"/>
      <c r="F204" s="1086"/>
      <c r="G204" s="1109"/>
      <c r="H204" s="1005"/>
      <c r="I204" s="1005"/>
      <c r="J204" s="1005"/>
      <c r="K204" s="1005"/>
      <c r="L204" s="1005"/>
      <c r="M204" s="1005"/>
    </row>
    <row r="205" spans="1:13" ht="18" customHeight="1">
      <c r="A205" s="1141"/>
      <c r="B205" s="1142"/>
      <c r="C205" s="1086"/>
      <c r="D205" s="1086"/>
      <c r="E205" s="1086"/>
      <c r="F205" s="1086"/>
      <c r="G205" s="1109"/>
      <c r="H205" s="1005"/>
      <c r="I205" s="1005"/>
      <c r="J205" s="1005"/>
      <c r="K205" s="1005"/>
      <c r="L205" s="1005"/>
      <c r="M205" s="1005"/>
    </row>
    <row r="206" spans="1:13" ht="15.75" customHeight="1">
      <c r="A206" s="1141"/>
      <c r="B206" s="1142"/>
      <c r="C206" s="1086"/>
      <c r="D206" s="1086"/>
      <c r="E206" s="1086"/>
      <c r="F206" s="1143" t="s">
        <v>1520</v>
      </c>
      <c r="G206" s="1109"/>
      <c r="H206" s="1005"/>
      <c r="I206" s="1005"/>
      <c r="J206" s="1005"/>
      <c r="K206" s="1005"/>
      <c r="L206" s="1005"/>
      <c r="M206" s="1005"/>
    </row>
    <row r="207" spans="1:13" ht="18" customHeight="1">
      <c r="A207" s="1141"/>
      <c r="B207" s="1142"/>
      <c r="C207" s="1086"/>
      <c r="D207" s="1086"/>
      <c r="E207" s="1086"/>
      <c r="F207" s="2459"/>
      <c r="G207" s="2460"/>
      <c r="H207" s="1005"/>
      <c r="I207" s="1005"/>
      <c r="J207" s="1005"/>
      <c r="K207" s="1005"/>
      <c r="L207" s="1005"/>
      <c r="M207" s="1005"/>
    </row>
    <row r="208" spans="1:13" ht="17.25" customHeight="1">
      <c r="A208" s="1141"/>
      <c r="B208" s="1142"/>
      <c r="C208" s="1086"/>
      <c r="D208" s="1086"/>
      <c r="E208" s="1086"/>
      <c r="F208" s="1086"/>
      <c r="G208" s="1109"/>
      <c r="H208" s="1005"/>
      <c r="I208" s="1005"/>
      <c r="J208" s="1005"/>
      <c r="K208" s="1005"/>
      <c r="L208" s="1005"/>
      <c r="M208" s="1005"/>
    </row>
    <row r="209" spans="1:13" ht="27" customHeight="1">
      <c r="A209" s="1141"/>
      <c r="B209" s="1142"/>
      <c r="C209" s="1086"/>
      <c r="D209" s="1086"/>
      <c r="E209" s="1086"/>
      <c r="F209" s="2459"/>
      <c r="G209" s="2460"/>
      <c r="H209" s="1005"/>
      <c r="I209" s="1005"/>
      <c r="J209" s="1005"/>
      <c r="K209" s="1005"/>
      <c r="L209" s="1005"/>
      <c r="M209" s="1005"/>
    </row>
    <row r="210" spans="1:13">
      <c r="A210" s="1141"/>
      <c r="B210" s="1142"/>
      <c r="C210" s="1086"/>
      <c r="D210" s="1086"/>
      <c r="E210" s="1086"/>
      <c r="F210" s="1143" t="s">
        <v>1495</v>
      </c>
      <c r="G210" s="1109"/>
      <c r="H210" s="1005"/>
      <c r="I210" s="1005"/>
      <c r="J210" s="1005"/>
      <c r="K210" s="1005"/>
      <c r="L210" s="1005"/>
      <c r="M210" s="1005"/>
    </row>
    <row r="211" spans="1:13" ht="21" customHeight="1">
      <c r="A211" s="1141"/>
      <c r="B211" s="1142"/>
      <c r="C211" s="1086"/>
      <c r="D211" s="1086"/>
      <c r="E211" s="1086"/>
      <c r="F211" s="1086"/>
      <c r="G211" s="1109"/>
      <c r="H211" s="1005"/>
      <c r="I211" s="1005"/>
      <c r="J211" s="1005"/>
      <c r="K211" s="1005"/>
      <c r="L211" s="1005"/>
      <c r="M211" s="1005"/>
    </row>
    <row r="212" spans="1:13" ht="16.5" customHeight="1">
      <c r="A212" s="1141"/>
      <c r="B212" s="1142"/>
      <c r="C212" s="1086"/>
      <c r="D212" s="1086"/>
      <c r="E212" s="1086"/>
      <c r="F212" s="1086"/>
      <c r="G212" s="1109"/>
      <c r="H212" s="1005"/>
      <c r="I212" s="1005"/>
      <c r="J212" s="1005"/>
      <c r="K212" s="1005"/>
      <c r="L212" s="1005"/>
      <c r="M212" s="1005"/>
    </row>
    <row r="213" spans="1:13" ht="22.5" customHeight="1">
      <c r="A213" s="1141"/>
      <c r="B213" s="1142"/>
      <c r="C213" s="1086"/>
      <c r="D213" s="1086"/>
      <c r="E213" s="1086"/>
      <c r="F213" s="1086"/>
      <c r="G213" s="1109"/>
      <c r="H213" s="1005"/>
      <c r="I213" s="1005"/>
      <c r="J213" s="1005"/>
      <c r="K213" s="1005"/>
      <c r="L213" s="1005"/>
      <c r="M213" s="1005"/>
    </row>
    <row r="214" spans="1:13" ht="14.25" customHeight="1" thickBot="1">
      <c r="A214" s="1141"/>
      <c r="B214" s="1142"/>
      <c r="C214" s="1086"/>
      <c r="D214" s="1086"/>
      <c r="E214" s="1086"/>
      <c r="F214" s="1086"/>
      <c r="G214" s="1109"/>
      <c r="H214" s="1005"/>
      <c r="I214" s="1005"/>
      <c r="J214" s="1005"/>
      <c r="K214" s="1005"/>
      <c r="L214" s="1005"/>
      <c r="M214" s="1005"/>
    </row>
    <row r="215" spans="1:13" ht="15.75" thickBot="1">
      <c r="A215" s="1019" t="s">
        <v>42</v>
      </c>
      <c r="B215" s="2262" t="s">
        <v>746</v>
      </c>
      <c r="C215" s="2263"/>
      <c r="D215" s="2263"/>
      <c r="E215" s="2263"/>
      <c r="F215" s="2263"/>
      <c r="G215" s="2264"/>
      <c r="H215" s="1005"/>
      <c r="I215" s="1020" t="s">
        <v>489</v>
      </c>
      <c r="J215" s="1005"/>
      <c r="K215" s="1005"/>
      <c r="L215" s="1005"/>
      <c r="M215" s="1005"/>
    </row>
    <row r="216" spans="1:13">
      <c r="A216" s="2265" t="s">
        <v>320</v>
      </c>
      <c r="B216" s="2266"/>
      <c r="C216" s="2266"/>
      <c r="D216" s="2266"/>
      <c r="E216" s="2266"/>
      <c r="F216" s="2266"/>
      <c r="G216" s="2267"/>
      <c r="H216" s="1005"/>
      <c r="I216" s="1005"/>
      <c r="J216" s="1005"/>
      <c r="K216" s="1005"/>
      <c r="L216" s="1005"/>
      <c r="M216" s="1005"/>
    </row>
    <row r="217" spans="1:13">
      <c r="A217" s="2268" t="s">
        <v>377</v>
      </c>
      <c r="B217" s="2269"/>
      <c r="C217" s="2269"/>
      <c r="D217" s="2269"/>
      <c r="E217" s="2269"/>
      <c r="F217" s="2269"/>
      <c r="G217" s="2270"/>
      <c r="H217" s="1005"/>
      <c r="I217" s="1005"/>
      <c r="J217" s="1005"/>
      <c r="K217" s="1005"/>
      <c r="L217" s="1005"/>
      <c r="M217" s="1005"/>
    </row>
    <row r="218" spans="1:13">
      <c r="A218" s="1034" t="s">
        <v>325</v>
      </c>
      <c r="B218" s="1035" t="s">
        <v>378</v>
      </c>
      <c r="C218" s="1035" t="s">
        <v>379</v>
      </c>
      <c r="D218" s="1035" t="s">
        <v>350</v>
      </c>
      <c r="E218" s="1035" t="s">
        <v>293</v>
      </c>
      <c r="F218" s="2273" t="s">
        <v>380</v>
      </c>
      <c r="G218" s="2275"/>
      <c r="H218" s="1005"/>
      <c r="I218" s="1005"/>
      <c r="J218" s="1005"/>
      <c r="K218" s="1005"/>
      <c r="L218" s="1005"/>
      <c r="M218" s="1005"/>
    </row>
    <row r="219" spans="1:13">
      <c r="A219" s="1118" t="s">
        <v>381</v>
      </c>
      <c r="B219" s="1038">
        <v>1.6</v>
      </c>
      <c r="C219" s="1144">
        <v>2.1</v>
      </c>
      <c r="D219" s="1144">
        <f>ROUNDUP(B219*C219,2)</f>
        <v>3.36</v>
      </c>
      <c r="E219" s="1144">
        <v>1</v>
      </c>
      <c r="F219" s="2451">
        <f>E219*D219</f>
        <v>3.36</v>
      </c>
      <c r="G219" s="2452"/>
      <c r="H219" s="1005"/>
      <c r="I219" s="1005"/>
      <c r="J219" s="1005"/>
      <c r="K219" s="1005"/>
      <c r="L219" s="1005"/>
      <c r="M219" s="1005"/>
    </row>
    <row r="220" spans="1:13" ht="15.75" thickBot="1">
      <c r="A220" s="2455"/>
      <c r="B220" s="2322"/>
      <c r="C220" s="2322"/>
      <c r="D220" s="2456"/>
      <c r="E220" s="2457" t="s">
        <v>357</v>
      </c>
      <c r="F220" s="2258"/>
      <c r="G220" s="1106">
        <f>ROUNDUP(F219,2)</f>
        <v>3.36</v>
      </c>
      <c r="H220" s="1005"/>
      <c r="I220" s="1020"/>
      <c r="J220" s="1005"/>
      <c r="K220" s="1005"/>
      <c r="L220" s="1005"/>
      <c r="M220" s="1005"/>
    </row>
    <row r="221" spans="1:13" ht="15.75" thickBot="1">
      <c r="A221" s="1141"/>
      <c r="B221" s="1142"/>
      <c r="C221" s="1086"/>
      <c r="D221" s="1086"/>
      <c r="E221" s="1086"/>
      <c r="F221" s="1086"/>
      <c r="G221" s="1109"/>
      <c r="H221" s="1005"/>
      <c r="I221" s="1005"/>
      <c r="J221" s="1005"/>
      <c r="K221" s="1005"/>
      <c r="L221" s="1005"/>
      <c r="M221" s="1005"/>
    </row>
    <row r="222" spans="1:13" ht="15.75" thickBot="1">
      <c r="A222" s="1019" t="s">
        <v>142</v>
      </c>
      <c r="B222" s="2262" t="s">
        <v>747</v>
      </c>
      <c r="C222" s="2263"/>
      <c r="D222" s="2263"/>
      <c r="E222" s="2263"/>
      <c r="F222" s="2263"/>
      <c r="G222" s="2264"/>
      <c r="H222" s="1005"/>
      <c r="I222" s="1020" t="s">
        <v>489</v>
      </c>
      <c r="J222" s="1005"/>
      <c r="K222" s="1005"/>
      <c r="L222" s="1005"/>
      <c r="M222" s="1005"/>
    </row>
    <row r="223" spans="1:13">
      <c r="A223" s="2265" t="s">
        <v>320</v>
      </c>
      <c r="B223" s="2266"/>
      <c r="C223" s="2266"/>
      <c r="D223" s="2266"/>
      <c r="E223" s="2266"/>
      <c r="F223" s="2266"/>
      <c r="G223" s="2267"/>
      <c r="H223" s="1005"/>
      <c r="I223" s="1005"/>
      <c r="J223" s="1005"/>
      <c r="K223" s="1005"/>
      <c r="L223" s="1005"/>
      <c r="M223" s="1005"/>
    </row>
    <row r="224" spans="1:13">
      <c r="A224" s="2268" t="s">
        <v>377</v>
      </c>
      <c r="B224" s="2269"/>
      <c r="C224" s="2269"/>
      <c r="D224" s="2269"/>
      <c r="E224" s="2269"/>
      <c r="F224" s="2269"/>
      <c r="G224" s="2270"/>
      <c r="H224" s="1005"/>
      <c r="I224" s="1005"/>
      <c r="J224" s="1005"/>
      <c r="K224" s="1005"/>
      <c r="L224" s="1005"/>
      <c r="M224" s="1005"/>
    </row>
    <row r="225" spans="1:13">
      <c r="A225" s="1034" t="s">
        <v>325</v>
      </c>
      <c r="B225" s="1035" t="s">
        <v>378</v>
      </c>
      <c r="C225" s="1035" t="s">
        <v>379</v>
      </c>
      <c r="D225" s="1035" t="s">
        <v>350</v>
      </c>
      <c r="E225" s="1035" t="s">
        <v>293</v>
      </c>
      <c r="F225" s="2273" t="s">
        <v>380</v>
      </c>
      <c r="G225" s="2275"/>
      <c r="H225" s="1005"/>
      <c r="I225" s="1005"/>
      <c r="J225" s="1005"/>
      <c r="K225" s="1005"/>
      <c r="L225" s="1005"/>
      <c r="M225" s="1005"/>
    </row>
    <row r="226" spans="1:13">
      <c r="A226" s="1118" t="s">
        <v>383</v>
      </c>
      <c r="B226" s="1038">
        <v>0.8</v>
      </c>
      <c r="C226" s="1144">
        <v>2.1</v>
      </c>
      <c r="D226" s="1144">
        <f>ROUNDUP(B226*C226,2)</f>
        <v>1.68</v>
      </c>
      <c r="E226" s="1144">
        <v>3</v>
      </c>
      <c r="F226" s="2451">
        <f>E226*D226</f>
        <v>5.04</v>
      </c>
      <c r="G226" s="2452"/>
      <c r="H226" s="1005"/>
      <c r="I226" s="1005"/>
      <c r="J226" s="1005"/>
      <c r="K226" s="1005"/>
      <c r="L226" s="1005"/>
      <c r="M226" s="1005"/>
    </row>
    <row r="227" spans="1:13" ht="15.75" thickBot="1">
      <c r="A227" s="2256"/>
      <c r="B227" s="2257"/>
      <c r="C227" s="2257"/>
      <c r="D227" s="2257"/>
      <c r="E227" s="2257"/>
      <c r="F227" s="2258"/>
      <c r="G227" s="1106">
        <f>ROUNDUP(F226,2)</f>
        <v>5.04</v>
      </c>
      <c r="H227" s="1005"/>
      <c r="I227" s="1005"/>
      <c r="J227" s="1005"/>
      <c r="K227" s="1005"/>
      <c r="L227" s="1005"/>
      <c r="M227" s="1005"/>
    </row>
    <row r="228" spans="1:13" ht="15.75" thickBot="1">
      <c r="A228" s="1141"/>
      <c r="B228" s="1142"/>
      <c r="C228" s="1086"/>
      <c r="D228" s="1086"/>
      <c r="E228" s="1086"/>
      <c r="F228" s="1086"/>
      <c r="G228" s="1109"/>
      <c r="H228" s="1005"/>
      <c r="I228" s="1005"/>
      <c r="J228" s="1005"/>
      <c r="K228" s="1005"/>
      <c r="L228" s="1005"/>
      <c r="M228" s="1005"/>
    </row>
    <row r="229" spans="1:13" ht="15.75" thickBot="1">
      <c r="A229" s="1019" t="s">
        <v>143</v>
      </c>
      <c r="B229" s="2262" t="s">
        <v>748</v>
      </c>
      <c r="C229" s="2263"/>
      <c r="D229" s="2263"/>
      <c r="E229" s="2263"/>
      <c r="F229" s="2263"/>
      <c r="G229" s="2264"/>
      <c r="H229" s="1005"/>
      <c r="I229" s="1020" t="s">
        <v>489</v>
      </c>
      <c r="J229" s="1005"/>
      <c r="K229" s="1005"/>
      <c r="L229" s="1005"/>
      <c r="M229" s="1005"/>
    </row>
    <row r="230" spans="1:13">
      <c r="A230" s="2265" t="s">
        <v>320</v>
      </c>
      <c r="B230" s="2266"/>
      <c r="C230" s="2266"/>
      <c r="D230" s="2266"/>
      <c r="E230" s="2266"/>
      <c r="F230" s="2266"/>
      <c r="G230" s="2267"/>
      <c r="H230" s="1005"/>
      <c r="I230" s="1005"/>
      <c r="J230" s="1005"/>
      <c r="K230" s="1005"/>
      <c r="L230" s="1005"/>
      <c r="M230" s="1005"/>
    </row>
    <row r="231" spans="1:13">
      <c r="A231" s="2268" t="s">
        <v>377</v>
      </c>
      <c r="B231" s="2269"/>
      <c r="C231" s="2269"/>
      <c r="D231" s="2269"/>
      <c r="E231" s="2269"/>
      <c r="F231" s="2269"/>
      <c r="G231" s="2270"/>
      <c r="H231" s="1005"/>
      <c r="I231" s="1005"/>
      <c r="J231" s="1005"/>
      <c r="K231" s="1005"/>
      <c r="L231" s="1005"/>
      <c r="M231" s="1005"/>
    </row>
    <row r="232" spans="1:13">
      <c r="A232" s="1034" t="s">
        <v>325</v>
      </c>
      <c r="B232" s="1035" t="s">
        <v>378</v>
      </c>
      <c r="C232" s="1035" t="s">
        <v>379</v>
      </c>
      <c r="D232" s="1035" t="s">
        <v>350</v>
      </c>
      <c r="E232" s="1035" t="s">
        <v>293</v>
      </c>
      <c r="F232" s="2273" t="s">
        <v>380</v>
      </c>
      <c r="G232" s="2275"/>
      <c r="H232" s="1005"/>
      <c r="I232" s="1005"/>
      <c r="J232" s="1005"/>
      <c r="K232" s="1005"/>
      <c r="L232" s="1005"/>
      <c r="M232" s="1005"/>
    </row>
    <row r="233" spans="1:13">
      <c r="A233" s="1118" t="s">
        <v>384</v>
      </c>
      <c r="B233" s="1038">
        <v>1</v>
      </c>
      <c r="C233" s="1144">
        <v>2.1</v>
      </c>
      <c r="D233" s="1144">
        <f>ROUNDUP(B233*C233,2)</f>
        <v>2.1</v>
      </c>
      <c r="E233" s="1144">
        <v>1</v>
      </c>
      <c r="F233" s="2451">
        <f>E233*D233</f>
        <v>2.1</v>
      </c>
      <c r="G233" s="2452"/>
      <c r="H233" s="1005"/>
      <c r="I233" s="1005"/>
      <c r="J233" s="1005"/>
      <c r="K233" s="1005"/>
      <c r="L233" s="1005"/>
      <c r="M233" s="1005"/>
    </row>
    <row r="234" spans="1:13" ht="15.75" thickBot="1">
      <c r="A234" s="2256" t="s">
        <v>357</v>
      </c>
      <c r="B234" s="2257"/>
      <c r="C234" s="2257"/>
      <c r="D234" s="2257"/>
      <c r="E234" s="2257"/>
      <c r="F234" s="2258"/>
      <c r="G234" s="1106">
        <f>ROUNDUP(F233,2)</f>
        <v>2.1</v>
      </c>
      <c r="H234" s="1005"/>
      <c r="I234" s="1005"/>
      <c r="J234" s="1005"/>
      <c r="K234" s="1005"/>
      <c r="L234" s="1005"/>
      <c r="M234" s="1005"/>
    </row>
    <row r="235" spans="1:13" ht="15.75" thickBot="1">
      <c r="A235" s="1141"/>
      <c r="B235" s="1142"/>
      <c r="C235" s="1086"/>
      <c r="D235" s="1086"/>
      <c r="E235" s="1086"/>
      <c r="F235" s="1086"/>
      <c r="G235" s="1109"/>
      <c r="H235" s="1005"/>
      <c r="I235" s="1005"/>
      <c r="J235" s="1005"/>
      <c r="K235" s="1005"/>
      <c r="L235" s="1005"/>
      <c r="M235" s="1005"/>
    </row>
    <row r="236" spans="1:13" ht="15.75" thickBot="1">
      <c r="A236" s="1019" t="s">
        <v>144</v>
      </c>
      <c r="B236" s="2262" t="s">
        <v>1496</v>
      </c>
      <c r="C236" s="2263"/>
      <c r="D236" s="2263"/>
      <c r="E236" s="2263"/>
      <c r="F236" s="2263"/>
      <c r="G236" s="2264"/>
      <c r="H236" s="1005"/>
      <c r="I236" s="1020" t="s">
        <v>489</v>
      </c>
      <c r="J236" s="1005"/>
      <c r="K236" s="1005"/>
      <c r="L236" s="1005"/>
      <c r="M236" s="1005"/>
    </row>
    <row r="237" spans="1:13">
      <c r="A237" s="2265" t="s">
        <v>320</v>
      </c>
      <c r="B237" s="2266"/>
      <c r="C237" s="2266"/>
      <c r="D237" s="2266"/>
      <c r="E237" s="2266"/>
      <c r="F237" s="2266"/>
      <c r="G237" s="2267"/>
      <c r="H237" s="1005"/>
      <c r="I237" s="1005"/>
      <c r="J237" s="1005"/>
      <c r="K237" s="1005"/>
      <c r="L237" s="1005"/>
      <c r="M237" s="1005"/>
    </row>
    <row r="238" spans="1:13">
      <c r="A238" s="2268" t="s">
        <v>377</v>
      </c>
      <c r="B238" s="2269"/>
      <c r="C238" s="2269"/>
      <c r="D238" s="2269"/>
      <c r="E238" s="2269"/>
      <c r="F238" s="2269"/>
      <c r="G238" s="2270"/>
      <c r="H238" s="1005"/>
      <c r="I238" s="1005"/>
      <c r="J238" s="1005"/>
      <c r="K238" s="1005"/>
      <c r="L238" s="1005"/>
      <c r="M238" s="1005"/>
    </row>
    <row r="239" spans="1:13">
      <c r="A239" s="1034" t="s">
        <v>325</v>
      </c>
      <c r="B239" s="1035" t="s">
        <v>378</v>
      </c>
      <c r="C239" s="1035" t="s">
        <v>379</v>
      </c>
      <c r="D239" s="1035" t="s">
        <v>350</v>
      </c>
      <c r="E239" s="1035" t="s">
        <v>293</v>
      </c>
      <c r="F239" s="2273" t="s">
        <v>380</v>
      </c>
      <c r="G239" s="2275"/>
      <c r="H239" s="1005"/>
      <c r="I239" s="1005"/>
      <c r="J239" s="1005"/>
      <c r="K239" s="1005"/>
      <c r="L239" s="1005"/>
      <c r="M239" s="1005"/>
    </row>
    <row r="240" spans="1:13">
      <c r="A240" s="1118" t="s">
        <v>385</v>
      </c>
      <c r="B240" s="1038">
        <v>1.3</v>
      </c>
      <c r="C240" s="1144">
        <v>2.1</v>
      </c>
      <c r="D240" s="1144">
        <f>ROUNDUP(B240*C240,2)</f>
        <v>2.73</v>
      </c>
      <c r="E240" s="1144">
        <v>2</v>
      </c>
      <c r="F240" s="2451">
        <f>E240*D240</f>
        <v>5.46</v>
      </c>
      <c r="G240" s="2452"/>
      <c r="H240" s="1005"/>
      <c r="I240" s="1005" t="s">
        <v>2237</v>
      </c>
      <c r="J240" s="1005"/>
      <c r="K240" s="1005"/>
      <c r="L240" s="1005"/>
      <c r="M240" s="1005"/>
    </row>
    <row r="241" spans="1:13" ht="15.75" thickBot="1">
      <c r="A241" s="2256" t="s">
        <v>357</v>
      </c>
      <c r="B241" s="2257"/>
      <c r="C241" s="2257"/>
      <c r="D241" s="2257"/>
      <c r="E241" s="2257"/>
      <c r="F241" s="2258"/>
      <c r="G241" s="1106">
        <f>ROUNDUP(F240,2)</f>
        <v>5.46</v>
      </c>
      <c r="H241" s="1005"/>
      <c r="I241" s="1005"/>
      <c r="J241" s="1005"/>
      <c r="K241" s="1005"/>
      <c r="L241" s="1005"/>
      <c r="M241" s="1005"/>
    </row>
    <row r="242" spans="1:13" ht="15.75" thickBot="1">
      <c r="A242" s="1006"/>
      <c r="B242" s="1007"/>
      <c r="C242" s="1007"/>
      <c r="D242" s="1007"/>
      <c r="E242" s="1007"/>
      <c r="F242" s="1007"/>
      <c r="G242" s="1008"/>
      <c r="H242" s="1005"/>
      <c r="I242" s="1005"/>
      <c r="J242" s="1005"/>
      <c r="K242" s="1005"/>
      <c r="L242" s="1005"/>
      <c r="M242" s="1005"/>
    </row>
    <row r="243" spans="1:13" ht="15.75" thickBot="1">
      <c r="A243" s="1019" t="s">
        <v>168</v>
      </c>
      <c r="B243" s="2262" t="s">
        <v>749</v>
      </c>
      <c r="C243" s="2263"/>
      <c r="D243" s="2263"/>
      <c r="E243" s="2263"/>
      <c r="F243" s="2263"/>
      <c r="G243" s="2264"/>
      <c r="H243" s="1005"/>
      <c r="I243" s="1020" t="s">
        <v>489</v>
      </c>
      <c r="J243" s="1005"/>
      <c r="K243" s="1005"/>
      <c r="L243" s="1005"/>
      <c r="M243" s="1005"/>
    </row>
    <row r="244" spans="1:13">
      <c r="A244" s="2265" t="s">
        <v>320</v>
      </c>
      <c r="B244" s="2266"/>
      <c r="C244" s="2266"/>
      <c r="D244" s="2266"/>
      <c r="E244" s="2266"/>
      <c r="F244" s="2266"/>
      <c r="G244" s="2267"/>
      <c r="H244" s="1005"/>
      <c r="I244" s="1005"/>
      <c r="J244" s="1005"/>
      <c r="K244" s="1005"/>
      <c r="L244" s="1005"/>
      <c r="M244" s="1005"/>
    </row>
    <row r="245" spans="1:13">
      <c r="A245" s="2268" t="s">
        <v>377</v>
      </c>
      <c r="B245" s="2269"/>
      <c r="C245" s="2269"/>
      <c r="D245" s="2269"/>
      <c r="E245" s="2269"/>
      <c r="F245" s="2269"/>
      <c r="G245" s="2270"/>
      <c r="H245" s="1005"/>
      <c r="I245" s="1005"/>
      <c r="J245" s="1005"/>
      <c r="K245" s="1005"/>
      <c r="L245" s="1005"/>
      <c r="M245" s="1005"/>
    </row>
    <row r="246" spans="1:13">
      <c r="A246" s="1034" t="s">
        <v>325</v>
      </c>
      <c r="B246" s="1035" t="s">
        <v>378</v>
      </c>
      <c r="C246" s="1035" t="s">
        <v>379</v>
      </c>
      <c r="D246" s="1035" t="s">
        <v>350</v>
      </c>
      <c r="E246" s="1035" t="s">
        <v>293</v>
      </c>
      <c r="F246" s="2273" t="s">
        <v>380</v>
      </c>
      <c r="G246" s="2275"/>
      <c r="H246" s="1005"/>
      <c r="I246" s="1005"/>
      <c r="J246" s="1005"/>
      <c r="K246" s="1005"/>
      <c r="L246" s="1005"/>
      <c r="M246" s="1005"/>
    </row>
    <row r="247" spans="1:13">
      <c r="A247" s="1118" t="s">
        <v>750</v>
      </c>
      <c r="B247" s="1038">
        <v>0.8</v>
      </c>
      <c r="C247" s="1144">
        <v>2.1</v>
      </c>
      <c r="D247" s="1144">
        <f>ROUNDUP(B247*C247,2)</f>
        <v>1.68</v>
      </c>
      <c r="E247" s="1144">
        <v>1</v>
      </c>
      <c r="F247" s="2451">
        <f>E247*D247</f>
        <v>1.68</v>
      </c>
      <c r="G247" s="2452"/>
      <c r="H247" s="1005"/>
      <c r="I247" s="1005"/>
      <c r="J247" s="1005"/>
      <c r="K247" s="1005"/>
      <c r="L247" s="1005"/>
      <c r="M247" s="1005"/>
    </row>
    <row r="248" spans="1:13" ht="15.75" thickBot="1">
      <c r="A248" s="2256" t="s">
        <v>357</v>
      </c>
      <c r="B248" s="2257"/>
      <c r="C248" s="2257"/>
      <c r="D248" s="2257"/>
      <c r="E248" s="2257"/>
      <c r="F248" s="2258"/>
      <c r="G248" s="1106">
        <f>ROUNDUP(F247,2)</f>
        <v>1.68</v>
      </c>
      <c r="H248" s="1005"/>
      <c r="I248" s="1005"/>
      <c r="J248" s="1005"/>
      <c r="K248" s="1005"/>
      <c r="L248" s="1005"/>
      <c r="M248" s="1005"/>
    </row>
    <row r="249" spans="1:13" ht="15.75" thickBot="1">
      <c r="A249" s="2377"/>
      <c r="B249" s="2453"/>
      <c r="C249" s="2453"/>
      <c r="D249" s="2453"/>
      <c r="E249" s="2453"/>
      <c r="F249" s="2453"/>
      <c r="G249" s="2454"/>
      <c r="H249" s="1005"/>
      <c r="I249" s="1005"/>
      <c r="J249" s="1005"/>
      <c r="K249" s="1005"/>
      <c r="L249" s="1005"/>
      <c r="M249" s="1005"/>
    </row>
    <row r="250" spans="1:13" ht="15.75" thickBot="1">
      <c r="A250" s="1019" t="s">
        <v>169</v>
      </c>
      <c r="B250" s="2262" t="s">
        <v>751</v>
      </c>
      <c r="C250" s="2263"/>
      <c r="D250" s="2263"/>
      <c r="E250" s="2263"/>
      <c r="F250" s="2263"/>
      <c r="G250" s="2264"/>
      <c r="H250" s="1005"/>
      <c r="I250" s="1020" t="s">
        <v>489</v>
      </c>
      <c r="J250" s="1005"/>
      <c r="K250" s="1005"/>
      <c r="L250" s="1005"/>
      <c r="M250" s="1005"/>
    </row>
    <row r="251" spans="1:13">
      <c r="A251" s="2265" t="s">
        <v>320</v>
      </c>
      <c r="B251" s="2266"/>
      <c r="C251" s="2266"/>
      <c r="D251" s="2266"/>
      <c r="E251" s="2266"/>
      <c r="F251" s="2266"/>
      <c r="G251" s="2267"/>
      <c r="H251" s="1005"/>
      <c r="I251" s="1005"/>
      <c r="J251" s="1005"/>
      <c r="K251" s="1005"/>
      <c r="L251" s="1005"/>
      <c r="M251" s="1005"/>
    </row>
    <row r="252" spans="1:13">
      <c r="A252" s="2268" t="s">
        <v>377</v>
      </c>
      <c r="B252" s="2269"/>
      <c r="C252" s="2269"/>
      <c r="D252" s="2269"/>
      <c r="E252" s="2269"/>
      <c r="F252" s="2269"/>
      <c r="G252" s="2270"/>
      <c r="H252" s="1005"/>
      <c r="I252" s="1005"/>
      <c r="J252" s="1005"/>
      <c r="K252" s="1005"/>
      <c r="L252" s="1005"/>
      <c r="M252" s="1005"/>
    </row>
    <row r="253" spans="1:13">
      <c r="A253" s="1034" t="s">
        <v>325</v>
      </c>
      <c r="B253" s="1035" t="s">
        <v>378</v>
      </c>
      <c r="C253" s="1035" t="s">
        <v>379</v>
      </c>
      <c r="D253" s="1035" t="s">
        <v>350</v>
      </c>
      <c r="E253" s="1035" t="s">
        <v>293</v>
      </c>
      <c r="F253" s="2273" t="s">
        <v>380</v>
      </c>
      <c r="G253" s="2275"/>
      <c r="H253" s="1005"/>
      <c r="I253" s="1005"/>
      <c r="J253" s="1005"/>
      <c r="K253" s="1005"/>
      <c r="L253" s="1005"/>
      <c r="M253" s="1005"/>
    </row>
    <row r="254" spans="1:13">
      <c r="A254" s="1118" t="s">
        <v>752</v>
      </c>
      <c r="B254" s="1038">
        <v>0.8</v>
      </c>
      <c r="C254" s="1144">
        <v>2.1</v>
      </c>
      <c r="D254" s="1144">
        <f>ROUNDUP(B254*C254,2)</f>
        <v>1.68</v>
      </c>
      <c r="E254" s="1144">
        <v>5</v>
      </c>
      <c r="F254" s="2451">
        <f>E254*D254</f>
        <v>8.4</v>
      </c>
      <c r="G254" s="2452"/>
      <c r="H254" s="1005"/>
      <c r="I254" s="1005"/>
      <c r="J254" s="1005"/>
      <c r="K254" s="1005"/>
      <c r="L254" s="1005"/>
      <c r="M254" s="1005"/>
    </row>
    <row r="255" spans="1:13" ht="15.75" thickBot="1">
      <c r="A255" s="2256" t="s">
        <v>357</v>
      </c>
      <c r="B255" s="2257"/>
      <c r="C255" s="2257"/>
      <c r="D255" s="2257"/>
      <c r="E255" s="2257"/>
      <c r="F255" s="2258"/>
      <c r="G255" s="1106">
        <f>ROUNDUP(F254,2)</f>
        <v>8.4</v>
      </c>
      <c r="H255" s="1005"/>
      <c r="I255" s="1005"/>
      <c r="J255" s="1005"/>
      <c r="K255" s="1005"/>
      <c r="L255" s="1005"/>
      <c r="M255" s="1005"/>
    </row>
    <row r="256" spans="1:13" ht="15.75" thickBot="1">
      <c r="A256" s="2377"/>
      <c r="B256" s="2453"/>
      <c r="C256" s="2453"/>
      <c r="D256" s="2453"/>
      <c r="E256" s="2453"/>
      <c r="F256" s="2453"/>
      <c r="G256" s="2454"/>
      <c r="H256" s="1005"/>
      <c r="I256" s="1005"/>
      <c r="J256" s="1005"/>
      <c r="K256" s="1005"/>
      <c r="L256" s="1005"/>
      <c r="M256" s="1005"/>
    </row>
    <row r="257" spans="1:13" ht="15.75" thickBot="1">
      <c r="A257" s="1019" t="s">
        <v>170</v>
      </c>
      <c r="B257" s="2262" t="s">
        <v>751</v>
      </c>
      <c r="C257" s="2263"/>
      <c r="D257" s="2263"/>
      <c r="E257" s="2263"/>
      <c r="F257" s="2263"/>
      <c r="G257" s="2264"/>
      <c r="H257" s="1005"/>
      <c r="I257" s="1020" t="s">
        <v>489</v>
      </c>
      <c r="J257" s="1005"/>
      <c r="K257" s="1005"/>
      <c r="L257" s="1005"/>
      <c r="M257" s="1005"/>
    </row>
    <row r="258" spans="1:13">
      <c r="A258" s="2265" t="s">
        <v>320</v>
      </c>
      <c r="B258" s="2266"/>
      <c r="C258" s="2266"/>
      <c r="D258" s="2266"/>
      <c r="E258" s="2266"/>
      <c r="F258" s="2266"/>
      <c r="G258" s="2267"/>
      <c r="H258" s="1005"/>
      <c r="I258" s="1005"/>
      <c r="J258" s="1005"/>
      <c r="K258" s="1005"/>
      <c r="L258" s="1005"/>
      <c r="M258" s="1005"/>
    </row>
    <row r="259" spans="1:13">
      <c r="A259" s="2268" t="s">
        <v>377</v>
      </c>
      <c r="B259" s="2269"/>
      <c r="C259" s="2269"/>
      <c r="D259" s="2269"/>
      <c r="E259" s="2269"/>
      <c r="F259" s="2269"/>
      <c r="G259" s="2270"/>
      <c r="H259" s="1005"/>
      <c r="I259" s="1005"/>
      <c r="J259" s="1005"/>
      <c r="K259" s="1005"/>
      <c r="L259" s="1005"/>
      <c r="M259" s="1005"/>
    </row>
    <row r="260" spans="1:13">
      <c r="A260" s="1034" t="s">
        <v>325</v>
      </c>
      <c r="B260" s="1035" t="s">
        <v>378</v>
      </c>
      <c r="C260" s="1035" t="s">
        <v>379</v>
      </c>
      <c r="D260" s="1035" t="s">
        <v>350</v>
      </c>
      <c r="E260" s="1035" t="s">
        <v>293</v>
      </c>
      <c r="F260" s="2273" t="s">
        <v>380</v>
      </c>
      <c r="G260" s="2275"/>
      <c r="H260" s="1005"/>
      <c r="I260" s="1005"/>
      <c r="J260" s="1005"/>
      <c r="K260" s="1005"/>
      <c r="L260" s="1005"/>
      <c r="M260" s="1005"/>
    </row>
    <row r="261" spans="1:13">
      <c r="A261" s="1118" t="s">
        <v>753</v>
      </c>
      <c r="B261" s="1038">
        <v>0.9</v>
      </c>
      <c r="C261" s="1144">
        <v>2.1</v>
      </c>
      <c r="D261" s="1144">
        <f>ROUNDUP(B261*C261,2)</f>
        <v>1.89</v>
      </c>
      <c r="E261" s="1144">
        <v>1</v>
      </c>
      <c r="F261" s="2451">
        <f>E261*D261</f>
        <v>1.89</v>
      </c>
      <c r="G261" s="2452"/>
      <c r="H261" s="1005"/>
      <c r="I261" s="1005"/>
      <c r="J261" s="1005"/>
      <c r="K261" s="1005"/>
      <c r="L261" s="1005"/>
      <c r="M261" s="1005"/>
    </row>
    <row r="262" spans="1:13" ht="15.75" thickBot="1">
      <c r="A262" s="2256" t="s">
        <v>357</v>
      </c>
      <c r="B262" s="2257"/>
      <c r="C262" s="2257"/>
      <c r="D262" s="2257"/>
      <c r="E262" s="2257"/>
      <c r="F262" s="2258"/>
      <c r="G262" s="1106">
        <f>ROUNDUP(F261,2)</f>
        <v>1.89</v>
      </c>
      <c r="H262" s="1005"/>
      <c r="I262" s="1098">
        <f>G262+G255</f>
        <v>10.290000000000001</v>
      </c>
      <c r="J262" s="1005"/>
      <c r="K262" s="1005"/>
      <c r="L262" s="1005"/>
      <c r="M262" s="1005"/>
    </row>
    <row r="263" spans="1:13" ht="15.75" thickBot="1">
      <c r="A263" s="2377"/>
      <c r="B263" s="2453"/>
      <c r="C263" s="2453"/>
      <c r="D263" s="2453"/>
      <c r="E263" s="2453"/>
      <c r="F263" s="2453"/>
      <c r="G263" s="2454"/>
      <c r="H263" s="1005"/>
      <c r="I263" s="1005"/>
      <c r="J263" s="1005"/>
      <c r="K263" s="1005"/>
      <c r="L263" s="1005"/>
      <c r="M263" s="1005"/>
    </row>
    <row r="264" spans="1:13" ht="15.75" thickBot="1">
      <c r="A264" s="1019" t="s">
        <v>388</v>
      </c>
      <c r="B264" s="2262" t="s">
        <v>754</v>
      </c>
      <c r="C264" s="2263"/>
      <c r="D264" s="2263"/>
      <c r="E264" s="2263"/>
      <c r="F264" s="2263"/>
      <c r="G264" s="2264"/>
      <c r="H264" s="1005"/>
      <c r="I264" s="1020" t="s">
        <v>489</v>
      </c>
      <c r="J264" s="1005"/>
      <c r="K264" s="1005"/>
      <c r="L264" s="1005"/>
      <c r="M264" s="1005"/>
    </row>
    <row r="265" spans="1:13">
      <c r="A265" s="2265" t="s">
        <v>320</v>
      </c>
      <c r="B265" s="2266"/>
      <c r="C265" s="2266"/>
      <c r="D265" s="2266"/>
      <c r="E265" s="2266"/>
      <c r="F265" s="2266"/>
      <c r="G265" s="2267"/>
      <c r="H265" s="1005"/>
      <c r="I265" s="1005"/>
      <c r="J265" s="1005"/>
      <c r="K265" s="1005"/>
      <c r="L265" s="1005"/>
      <c r="M265" s="1005"/>
    </row>
    <row r="266" spans="1:13">
      <c r="A266" s="2268" t="s">
        <v>377</v>
      </c>
      <c r="B266" s="2269"/>
      <c r="C266" s="2269"/>
      <c r="D266" s="2269"/>
      <c r="E266" s="2269"/>
      <c r="F266" s="2269"/>
      <c r="G266" s="2270"/>
      <c r="H266" s="1005"/>
      <c r="I266" s="1005"/>
      <c r="J266" s="1005"/>
      <c r="K266" s="1005"/>
      <c r="L266" s="1005"/>
      <c r="M266" s="1005"/>
    </row>
    <row r="267" spans="1:13">
      <c r="A267" s="1034" t="s">
        <v>325</v>
      </c>
      <c r="B267" s="1035" t="s">
        <v>378</v>
      </c>
      <c r="C267" s="1035" t="s">
        <v>379</v>
      </c>
      <c r="D267" s="1035" t="s">
        <v>350</v>
      </c>
      <c r="E267" s="1035" t="s">
        <v>293</v>
      </c>
      <c r="F267" s="2273" t="s">
        <v>380</v>
      </c>
      <c r="G267" s="2275"/>
      <c r="H267" s="1005"/>
      <c r="I267" s="1005"/>
      <c r="J267" s="1005"/>
      <c r="K267" s="1005"/>
      <c r="L267" s="1005"/>
      <c r="M267" s="1005"/>
    </row>
    <row r="268" spans="1:13">
      <c r="A268" s="1118" t="s">
        <v>755</v>
      </c>
      <c r="B268" s="1038">
        <v>1.5</v>
      </c>
      <c r="C268" s="1144">
        <v>2.4500000000000002</v>
      </c>
      <c r="D268" s="1144">
        <f>ROUNDUP(B268*C268,2)</f>
        <v>3.6799999999999997</v>
      </c>
      <c r="E268" s="1144">
        <v>1</v>
      </c>
      <c r="F268" s="2451">
        <f>E268*D268</f>
        <v>3.6799999999999997</v>
      </c>
      <c r="G268" s="2452"/>
      <c r="H268" s="1005"/>
      <c r="I268" s="1005"/>
      <c r="J268" s="1005"/>
      <c r="K268" s="1005"/>
      <c r="L268" s="1005"/>
      <c r="M268" s="1005"/>
    </row>
    <row r="269" spans="1:13" ht="15.75" thickBot="1">
      <c r="A269" s="2256" t="s">
        <v>357</v>
      </c>
      <c r="B269" s="2257"/>
      <c r="C269" s="2257"/>
      <c r="D269" s="2257"/>
      <c r="E269" s="2257"/>
      <c r="F269" s="2258"/>
      <c r="G269" s="1106">
        <f>ROUNDUP(F268,2)</f>
        <v>3.68</v>
      </c>
      <c r="H269" s="1005"/>
      <c r="I269" s="1005"/>
      <c r="J269" s="1005"/>
      <c r="K269" s="1005"/>
      <c r="L269" s="1005"/>
      <c r="M269" s="1005"/>
    </row>
    <row r="270" spans="1:13" ht="15.75" thickBot="1">
      <c r="A270" s="1141"/>
      <c r="B270" s="1142"/>
      <c r="C270" s="1086"/>
      <c r="D270" s="1086"/>
      <c r="E270" s="1086"/>
      <c r="F270" s="1086"/>
      <c r="G270" s="1109"/>
      <c r="H270" s="1005"/>
      <c r="I270" s="1005"/>
      <c r="J270" s="1005"/>
      <c r="K270" s="1005"/>
      <c r="L270" s="1005"/>
      <c r="M270" s="1005"/>
    </row>
    <row r="271" spans="1:13" ht="15.75" thickBot="1">
      <c r="A271" s="1019" t="s">
        <v>390</v>
      </c>
      <c r="B271" s="2262" t="s">
        <v>756</v>
      </c>
      <c r="C271" s="2263"/>
      <c r="D271" s="2263"/>
      <c r="E271" s="2263"/>
      <c r="F271" s="2263"/>
      <c r="G271" s="2264"/>
      <c r="H271" s="1005"/>
      <c r="I271" s="1020" t="s">
        <v>489</v>
      </c>
      <c r="J271" s="1005"/>
      <c r="K271" s="1005"/>
      <c r="L271" s="1005"/>
      <c r="M271" s="1005"/>
    </row>
    <row r="272" spans="1:13">
      <c r="A272" s="2265" t="s">
        <v>320</v>
      </c>
      <c r="B272" s="2266"/>
      <c r="C272" s="2266"/>
      <c r="D272" s="2266"/>
      <c r="E272" s="2266"/>
      <c r="F272" s="2266"/>
      <c r="G272" s="2267"/>
      <c r="H272" s="1005"/>
      <c r="I272" s="1005"/>
      <c r="J272" s="1005"/>
      <c r="K272" s="1005"/>
      <c r="L272" s="1005"/>
      <c r="M272" s="1005"/>
    </row>
    <row r="273" spans="1:13">
      <c r="A273" s="2268" t="s">
        <v>377</v>
      </c>
      <c r="B273" s="2269"/>
      <c r="C273" s="2269"/>
      <c r="D273" s="2269"/>
      <c r="E273" s="2269"/>
      <c r="F273" s="2269"/>
      <c r="G273" s="2270"/>
      <c r="H273" s="1005"/>
      <c r="I273" s="1005"/>
      <c r="J273" s="1005"/>
      <c r="K273" s="1005"/>
      <c r="L273" s="1005"/>
      <c r="M273" s="1005"/>
    </row>
    <row r="274" spans="1:13">
      <c r="A274" s="1034" t="s">
        <v>325</v>
      </c>
      <c r="B274" s="1035" t="s">
        <v>378</v>
      </c>
      <c r="C274" s="1035" t="s">
        <v>379</v>
      </c>
      <c r="D274" s="1035" t="s">
        <v>350</v>
      </c>
      <c r="E274" s="1035" t="s">
        <v>293</v>
      </c>
      <c r="F274" s="2273" t="s">
        <v>380</v>
      </c>
      <c r="G274" s="2275"/>
      <c r="H274" s="1005"/>
      <c r="I274" s="1005"/>
      <c r="J274" s="1005"/>
      <c r="K274" s="1005"/>
      <c r="L274" s="1005"/>
      <c r="M274" s="1005"/>
    </row>
    <row r="275" spans="1:13">
      <c r="A275" s="1118" t="s">
        <v>757</v>
      </c>
      <c r="B275" s="1038">
        <v>3.9</v>
      </c>
      <c r="C275" s="1144">
        <v>2.4500000000000002</v>
      </c>
      <c r="D275" s="1144">
        <f>ROUNDUP(B275*C275,2)</f>
        <v>9.56</v>
      </c>
      <c r="E275" s="1144">
        <v>2</v>
      </c>
      <c r="F275" s="2451">
        <f>E275*D275</f>
        <v>19.12</v>
      </c>
      <c r="G275" s="2452"/>
      <c r="H275" s="1005"/>
      <c r="I275" s="1005"/>
      <c r="J275" s="1005"/>
      <c r="K275" s="1005"/>
      <c r="L275" s="1005"/>
      <c r="M275" s="1005"/>
    </row>
    <row r="276" spans="1:13" ht="15.75" thickBot="1">
      <c r="A276" s="2256" t="s">
        <v>357</v>
      </c>
      <c r="B276" s="2257"/>
      <c r="C276" s="2257"/>
      <c r="D276" s="2257"/>
      <c r="E276" s="2257"/>
      <c r="F276" s="2258"/>
      <c r="G276" s="1106">
        <f>ROUNDUP(F275,2)</f>
        <v>19.12</v>
      </c>
      <c r="H276" s="1005"/>
      <c r="I276" s="1005"/>
      <c r="J276" s="1005"/>
      <c r="K276" s="1005"/>
      <c r="L276" s="1005"/>
      <c r="M276" s="1005"/>
    </row>
    <row r="277" spans="1:13" ht="15.75" thickBot="1">
      <c r="A277" s="1141"/>
      <c r="B277" s="1142"/>
      <c r="C277" s="1086"/>
      <c r="D277" s="1086"/>
      <c r="E277" s="1086"/>
      <c r="F277" s="1086"/>
      <c r="G277" s="1109"/>
      <c r="H277" s="1005"/>
      <c r="I277" s="1005"/>
      <c r="J277" s="1005"/>
      <c r="K277" s="1005"/>
      <c r="L277" s="1005"/>
      <c r="M277" s="1005"/>
    </row>
    <row r="278" spans="1:13" ht="15.75" thickBot="1">
      <c r="A278" s="1019" t="s">
        <v>392</v>
      </c>
      <c r="B278" s="2262" t="s">
        <v>758</v>
      </c>
      <c r="C278" s="2263"/>
      <c r="D278" s="2263"/>
      <c r="E278" s="2263"/>
      <c r="F278" s="2263"/>
      <c r="G278" s="2264"/>
      <c r="H278" s="1005"/>
      <c r="I278" s="1020" t="s">
        <v>489</v>
      </c>
      <c r="J278" s="1005"/>
      <c r="K278" s="1005"/>
      <c r="L278" s="1005"/>
      <c r="M278" s="1005"/>
    </row>
    <row r="279" spans="1:13">
      <c r="A279" s="2265" t="s">
        <v>320</v>
      </c>
      <c r="B279" s="2266"/>
      <c r="C279" s="2266"/>
      <c r="D279" s="2266"/>
      <c r="E279" s="2266"/>
      <c r="F279" s="2266"/>
      <c r="G279" s="2267"/>
      <c r="H279" s="1005"/>
      <c r="I279" s="1005"/>
      <c r="J279" s="1005"/>
      <c r="K279" s="1005"/>
      <c r="L279" s="1005"/>
      <c r="M279" s="1005"/>
    </row>
    <row r="280" spans="1:13">
      <c r="A280" s="2268" t="s">
        <v>377</v>
      </c>
      <c r="B280" s="2269"/>
      <c r="C280" s="2269"/>
      <c r="D280" s="2269"/>
      <c r="E280" s="2269"/>
      <c r="F280" s="2269"/>
      <c r="G280" s="2270"/>
      <c r="H280" s="1005"/>
      <c r="I280" s="1005"/>
      <c r="J280" s="1005"/>
      <c r="K280" s="1005"/>
      <c r="L280" s="1005"/>
      <c r="M280" s="1005"/>
    </row>
    <row r="281" spans="1:13">
      <c r="A281" s="1034" t="s">
        <v>325</v>
      </c>
      <c r="B281" s="1035" t="s">
        <v>378</v>
      </c>
      <c r="C281" s="1035" t="s">
        <v>379</v>
      </c>
      <c r="D281" s="1035" t="s">
        <v>350</v>
      </c>
      <c r="E281" s="1035" t="s">
        <v>293</v>
      </c>
      <c r="F281" s="2273" t="s">
        <v>380</v>
      </c>
      <c r="G281" s="2275"/>
      <c r="H281" s="1005"/>
      <c r="I281" s="1005"/>
      <c r="J281" s="1005"/>
      <c r="K281" s="1005"/>
      <c r="L281" s="1005"/>
      <c r="M281" s="1005"/>
    </row>
    <row r="282" spans="1:13">
      <c r="A282" s="1118" t="s">
        <v>386</v>
      </c>
      <c r="B282" s="1038">
        <v>1.1000000000000001</v>
      </c>
      <c r="C282" s="1144">
        <v>0.6</v>
      </c>
      <c r="D282" s="1144">
        <f>ROUNDUP(B282*C282,2)</f>
        <v>0.66</v>
      </c>
      <c r="E282" s="1144">
        <v>11</v>
      </c>
      <c r="F282" s="2451">
        <f>E282*D282</f>
        <v>7.2600000000000007</v>
      </c>
      <c r="G282" s="2452"/>
      <c r="H282" s="1005"/>
      <c r="I282" s="1005"/>
      <c r="J282" s="1005"/>
      <c r="K282" s="1005"/>
      <c r="L282" s="1005"/>
      <c r="M282" s="1005"/>
    </row>
    <row r="283" spans="1:13" ht="15.75" thickBot="1">
      <c r="A283" s="2256" t="s">
        <v>357</v>
      </c>
      <c r="B283" s="2257"/>
      <c r="C283" s="2257"/>
      <c r="D283" s="2257"/>
      <c r="E283" s="2257"/>
      <c r="F283" s="2258"/>
      <c r="G283" s="1106">
        <f>ROUNDUP(F282,2)</f>
        <v>7.26</v>
      </c>
      <c r="H283" s="1005"/>
      <c r="I283" s="1005"/>
      <c r="J283" s="1005"/>
      <c r="K283" s="1005"/>
      <c r="L283" s="1005"/>
      <c r="M283" s="1005"/>
    </row>
    <row r="284" spans="1:13" ht="15.75" thickBot="1">
      <c r="A284" s="1141"/>
      <c r="B284" s="1142"/>
      <c r="C284" s="1086"/>
      <c r="D284" s="1086"/>
      <c r="E284" s="1086"/>
      <c r="F284" s="1086"/>
      <c r="G284" s="1109"/>
      <c r="H284" s="1005"/>
      <c r="I284" s="1005"/>
      <c r="J284" s="1005"/>
      <c r="K284" s="1005"/>
      <c r="L284" s="1005"/>
      <c r="M284" s="1005"/>
    </row>
    <row r="285" spans="1:13" ht="15.75" thickBot="1">
      <c r="A285" s="1019" t="s">
        <v>397</v>
      </c>
      <c r="B285" s="2262" t="s">
        <v>758</v>
      </c>
      <c r="C285" s="2263"/>
      <c r="D285" s="2263"/>
      <c r="E285" s="2263"/>
      <c r="F285" s="2263"/>
      <c r="G285" s="2264"/>
      <c r="H285" s="1005"/>
      <c r="I285" s="1020" t="s">
        <v>489</v>
      </c>
      <c r="J285" s="1005"/>
      <c r="K285" s="1005"/>
      <c r="L285" s="1005"/>
      <c r="M285" s="1005"/>
    </row>
    <row r="286" spans="1:13">
      <c r="A286" s="2265" t="s">
        <v>320</v>
      </c>
      <c r="B286" s="2266"/>
      <c r="C286" s="2266"/>
      <c r="D286" s="2266"/>
      <c r="E286" s="2266"/>
      <c r="F286" s="2266"/>
      <c r="G286" s="2267"/>
      <c r="H286" s="1005"/>
      <c r="I286" s="1005"/>
      <c r="J286" s="1005"/>
      <c r="K286" s="1005"/>
      <c r="L286" s="1005"/>
      <c r="M286" s="1005"/>
    </row>
    <row r="287" spans="1:13">
      <c r="A287" s="2268" t="s">
        <v>377</v>
      </c>
      <c r="B287" s="2269"/>
      <c r="C287" s="2269"/>
      <c r="D287" s="2269"/>
      <c r="E287" s="2269"/>
      <c r="F287" s="2269"/>
      <c r="G287" s="2270"/>
      <c r="H287" s="1005"/>
      <c r="I287" s="1005"/>
      <c r="J287" s="1005"/>
      <c r="K287" s="1005"/>
      <c r="L287" s="1005"/>
      <c r="M287" s="1005"/>
    </row>
    <row r="288" spans="1:13">
      <c r="A288" s="1034" t="s">
        <v>325</v>
      </c>
      <c r="B288" s="1035" t="s">
        <v>378</v>
      </c>
      <c r="C288" s="1035" t="s">
        <v>379</v>
      </c>
      <c r="D288" s="1035" t="s">
        <v>350</v>
      </c>
      <c r="E288" s="1035" t="s">
        <v>293</v>
      </c>
      <c r="F288" s="2273" t="s">
        <v>380</v>
      </c>
      <c r="G288" s="2275"/>
      <c r="H288" s="1005"/>
      <c r="I288" s="1005"/>
      <c r="J288" s="1005"/>
      <c r="K288" s="1005"/>
      <c r="L288" s="1005"/>
      <c r="M288" s="1005"/>
    </row>
    <row r="289" spans="1:13">
      <c r="A289" s="1118" t="s">
        <v>387</v>
      </c>
      <c r="B289" s="1038">
        <v>2.2999999999999998</v>
      </c>
      <c r="C289" s="1144">
        <v>1.1000000000000001</v>
      </c>
      <c r="D289" s="1144">
        <f>ROUNDUP(B289*C289,2)</f>
        <v>2.5299999999999998</v>
      </c>
      <c r="E289" s="1144">
        <v>6</v>
      </c>
      <c r="F289" s="2451">
        <f>E289*D289</f>
        <v>15.18</v>
      </c>
      <c r="G289" s="2452"/>
      <c r="H289" s="1005"/>
      <c r="I289" s="1005"/>
      <c r="J289" s="1005"/>
      <c r="K289" s="1005"/>
      <c r="L289" s="1005"/>
      <c r="M289" s="1005"/>
    </row>
    <row r="290" spans="1:13" ht="15.75" thickBot="1">
      <c r="A290" s="2256" t="s">
        <v>357</v>
      </c>
      <c r="B290" s="2257"/>
      <c r="C290" s="2257"/>
      <c r="D290" s="2257"/>
      <c r="E290" s="2257"/>
      <c r="F290" s="2258"/>
      <c r="G290" s="1106">
        <f>ROUNDUP(F289,2)</f>
        <v>15.18</v>
      </c>
      <c r="H290" s="1005"/>
      <c r="I290" s="1005"/>
      <c r="J290" s="1005"/>
      <c r="K290" s="1005"/>
      <c r="L290" s="1005"/>
      <c r="M290" s="1005"/>
    </row>
    <row r="291" spans="1:13" ht="15.75" thickBot="1">
      <c r="A291" s="1141"/>
      <c r="B291" s="1142"/>
      <c r="C291" s="1086"/>
      <c r="D291" s="1086"/>
      <c r="E291" s="1086"/>
      <c r="F291" s="1086"/>
      <c r="G291" s="1109"/>
      <c r="H291" s="1005"/>
      <c r="I291" s="1005"/>
      <c r="J291" s="1005"/>
      <c r="K291" s="1005"/>
      <c r="L291" s="1005"/>
      <c r="M291" s="1005"/>
    </row>
    <row r="292" spans="1:13" ht="15.75" thickBot="1">
      <c r="A292" s="1019" t="s">
        <v>398</v>
      </c>
      <c r="B292" s="2262" t="s">
        <v>760</v>
      </c>
      <c r="C292" s="2263"/>
      <c r="D292" s="2263"/>
      <c r="E292" s="2263"/>
      <c r="F292" s="2263"/>
      <c r="G292" s="2264"/>
      <c r="H292" s="1005"/>
      <c r="I292" s="1020" t="s">
        <v>489</v>
      </c>
      <c r="J292" s="1005"/>
      <c r="K292" s="1005"/>
      <c r="L292" s="1005"/>
      <c r="M292" s="1005"/>
    </row>
    <row r="293" spans="1:13">
      <c r="A293" s="2265" t="s">
        <v>320</v>
      </c>
      <c r="B293" s="2266"/>
      <c r="C293" s="2266"/>
      <c r="D293" s="2266"/>
      <c r="E293" s="2266"/>
      <c r="F293" s="2266"/>
      <c r="G293" s="2267"/>
      <c r="H293" s="1005"/>
      <c r="I293" s="1005"/>
      <c r="J293" s="1005"/>
      <c r="K293" s="1005"/>
      <c r="L293" s="1005"/>
      <c r="M293" s="1005"/>
    </row>
    <row r="294" spans="1:13">
      <c r="A294" s="2268" t="s">
        <v>377</v>
      </c>
      <c r="B294" s="2269"/>
      <c r="C294" s="2269"/>
      <c r="D294" s="2269"/>
      <c r="E294" s="2269"/>
      <c r="F294" s="2269"/>
      <c r="G294" s="2270"/>
      <c r="H294" s="1005"/>
      <c r="I294" s="1005"/>
      <c r="J294" s="1005"/>
      <c r="K294" s="1005"/>
      <c r="L294" s="1005"/>
      <c r="M294" s="1005"/>
    </row>
    <row r="295" spans="1:13">
      <c r="A295" s="1034" t="s">
        <v>325</v>
      </c>
      <c r="B295" s="1035" t="s">
        <v>378</v>
      </c>
      <c r="C295" s="1035" t="s">
        <v>379</v>
      </c>
      <c r="D295" s="1035" t="s">
        <v>350</v>
      </c>
      <c r="E295" s="1035" t="s">
        <v>293</v>
      </c>
      <c r="F295" s="2273" t="s">
        <v>380</v>
      </c>
      <c r="G295" s="2275"/>
      <c r="H295" s="1005"/>
      <c r="I295" s="1005"/>
      <c r="J295" s="1005"/>
      <c r="K295" s="1005"/>
      <c r="L295" s="1005"/>
      <c r="M295" s="1005"/>
    </row>
    <row r="296" spans="1:13">
      <c r="A296" s="1118" t="s">
        <v>389</v>
      </c>
      <c r="B296" s="1038">
        <v>2.2000000000000002</v>
      </c>
      <c r="C296" s="1144">
        <v>1.1000000000000001</v>
      </c>
      <c r="D296" s="1144">
        <f>ROUNDUP(B296*C296,2)</f>
        <v>2.42</v>
      </c>
      <c r="E296" s="1144">
        <v>2</v>
      </c>
      <c r="F296" s="2451">
        <f>E296*D296</f>
        <v>4.84</v>
      </c>
      <c r="G296" s="2452"/>
      <c r="H296" s="1005"/>
      <c r="I296" s="1005"/>
      <c r="J296" s="1005"/>
      <c r="K296" s="1005"/>
      <c r="L296" s="1005"/>
      <c r="M296" s="1005"/>
    </row>
    <row r="297" spans="1:13" ht="15.75" thickBot="1">
      <c r="A297" s="2256" t="s">
        <v>357</v>
      </c>
      <c r="B297" s="2257"/>
      <c r="C297" s="2257"/>
      <c r="D297" s="2257"/>
      <c r="E297" s="2257"/>
      <c r="F297" s="2258"/>
      <c r="G297" s="1106">
        <f>ROUNDUP(F296,2)</f>
        <v>4.84</v>
      </c>
      <c r="H297" s="1005"/>
      <c r="I297" s="1005"/>
      <c r="J297" s="1005"/>
      <c r="K297" s="1005"/>
      <c r="L297" s="1005"/>
      <c r="M297" s="1005"/>
    </row>
    <row r="298" spans="1:13" ht="15.75" thickBot="1">
      <c r="A298" s="1141"/>
      <c r="B298" s="1142"/>
      <c r="C298" s="1086"/>
      <c r="D298" s="1086"/>
      <c r="E298" s="1086"/>
      <c r="F298" s="1086"/>
      <c r="G298" s="1109"/>
      <c r="H298" s="1005"/>
      <c r="I298" s="1005"/>
      <c r="J298" s="1005"/>
      <c r="K298" s="1005"/>
      <c r="L298" s="1005"/>
      <c r="M298" s="1005"/>
    </row>
    <row r="299" spans="1:13" ht="15.75" thickBot="1">
      <c r="A299" s="1019" t="s">
        <v>759</v>
      </c>
      <c r="B299" s="2262" t="s">
        <v>758</v>
      </c>
      <c r="C299" s="2263"/>
      <c r="D299" s="2263"/>
      <c r="E299" s="2263"/>
      <c r="F299" s="2263"/>
      <c r="G299" s="2264"/>
      <c r="H299" s="1005"/>
      <c r="I299" s="1020" t="s">
        <v>489</v>
      </c>
      <c r="J299" s="1005"/>
      <c r="K299" s="1005"/>
      <c r="L299" s="1005"/>
      <c r="M299" s="1005"/>
    </row>
    <row r="300" spans="1:13">
      <c r="A300" s="2265" t="s">
        <v>320</v>
      </c>
      <c r="B300" s="2266"/>
      <c r="C300" s="2266"/>
      <c r="D300" s="2266"/>
      <c r="E300" s="2266"/>
      <c r="F300" s="2266"/>
      <c r="G300" s="2267"/>
      <c r="H300" s="1005"/>
      <c r="I300" s="1005"/>
      <c r="J300" s="1005"/>
      <c r="K300" s="1005"/>
      <c r="L300" s="1005"/>
      <c r="M300" s="1005"/>
    </row>
    <row r="301" spans="1:13">
      <c r="A301" s="2268" t="s">
        <v>377</v>
      </c>
      <c r="B301" s="2269"/>
      <c r="C301" s="2269"/>
      <c r="D301" s="2269"/>
      <c r="E301" s="2269"/>
      <c r="F301" s="2269"/>
      <c r="G301" s="2270"/>
      <c r="H301" s="1005"/>
      <c r="I301" s="1005"/>
      <c r="J301" s="1005"/>
      <c r="K301" s="1005"/>
      <c r="L301" s="1005"/>
      <c r="M301" s="1005"/>
    </row>
    <row r="302" spans="1:13">
      <c r="A302" s="1034" t="s">
        <v>325</v>
      </c>
      <c r="B302" s="1035" t="s">
        <v>378</v>
      </c>
      <c r="C302" s="1035" t="s">
        <v>379</v>
      </c>
      <c r="D302" s="1035" t="s">
        <v>350</v>
      </c>
      <c r="E302" s="1035" t="s">
        <v>293</v>
      </c>
      <c r="F302" s="2273" t="s">
        <v>380</v>
      </c>
      <c r="G302" s="2275"/>
      <c r="H302" s="1005"/>
      <c r="I302" s="1005"/>
      <c r="J302" s="1005"/>
      <c r="K302" s="1005"/>
      <c r="L302" s="1005"/>
      <c r="M302" s="1005"/>
    </row>
    <row r="303" spans="1:13">
      <c r="A303" s="1118" t="s">
        <v>391</v>
      </c>
      <c r="B303" s="1038">
        <v>1.2</v>
      </c>
      <c r="C303" s="1144">
        <v>1.6</v>
      </c>
      <c r="D303" s="1144">
        <f>ROUNDUP(B303*C303,2)</f>
        <v>1.92</v>
      </c>
      <c r="E303" s="1144">
        <v>1</v>
      </c>
      <c r="F303" s="2451">
        <f>E303*D303</f>
        <v>1.92</v>
      </c>
      <c r="G303" s="2452"/>
      <c r="H303" s="1005"/>
      <c r="I303" s="1005"/>
      <c r="J303" s="1005"/>
      <c r="K303" s="1005"/>
      <c r="L303" s="1005"/>
      <c r="M303" s="1005"/>
    </row>
    <row r="304" spans="1:13" ht="15.75" thickBot="1">
      <c r="A304" s="2256" t="s">
        <v>357</v>
      </c>
      <c r="B304" s="2257"/>
      <c r="C304" s="2257"/>
      <c r="D304" s="2257"/>
      <c r="E304" s="2257"/>
      <c r="F304" s="2258"/>
      <c r="G304" s="1106">
        <f>ROUNDUP(F303,2)</f>
        <v>1.92</v>
      </c>
      <c r="H304" s="1005"/>
      <c r="I304" s="1005"/>
      <c r="J304" s="1005"/>
      <c r="K304" s="1005"/>
      <c r="L304" s="1005"/>
      <c r="M304" s="1005"/>
    </row>
    <row r="305" spans="1:13" ht="15.75" thickBot="1">
      <c r="A305" s="1141"/>
      <c r="B305" s="1142"/>
      <c r="C305" s="1086"/>
      <c r="D305" s="1086"/>
      <c r="E305" s="1086"/>
      <c r="F305" s="1086"/>
      <c r="G305" s="1109"/>
      <c r="H305" s="1005"/>
      <c r="I305" s="1005"/>
      <c r="J305" s="1005"/>
      <c r="K305" s="1005"/>
      <c r="L305" s="1005"/>
      <c r="M305" s="1005"/>
    </row>
    <row r="306" spans="1:13" ht="15.75" thickBot="1">
      <c r="A306" s="1019" t="s">
        <v>761</v>
      </c>
      <c r="B306" s="2262" t="s">
        <v>758</v>
      </c>
      <c r="C306" s="2263"/>
      <c r="D306" s="2263"/>
      <c r="E306" s="2263"/>
      <c r="F306" s="2263"/>
      <c r="G306" s="2264"/>
      <c r="H306" s="1005"/>
      <c r="I306" s="1020" t="s">
        <v>489</v>
      </c>
      <c r="J306" s="1005"/>
      <c r="K306" s="1005"/>
      <c r="L306" s="1005"/>
      <c r="M306" s="1005"/>
    </row>
    <row r="307" spans="1:13">
      <c r="A307" s="2265" t="s">
        <v>320</v>
      </c>
      <c r="B307" s="2266"/>
      <c r="C307" s="2266"/>
      <c r="D307" s="2266"/>
      <c r="E307" s="2266"/>
      <c r="F307" s="2266"/>
      <c r="G307" s="2267"/>
      <c r="H307" s="1005"/>
      <c r="I307" s="1005"/>
      <c r="J307" s="1005"/>
      <c r="K307" s="1005"/>
      <c r="L307" s="1005"/>
      <c r="M307" s="1005"/>
    </row>
    <row r="308" spans="1:13">
      <c r="A308" s="2268" t="s">
        <v>377</v>
      </c>
      <c r="B308" s="2269"/>
      <c r="C308" s="2269"/>
      <c r="D308" s="2269"/>
      <c r="E308" s="2269"/>
      <c r="F308" s="2269"/>
      <c r="G308" s="2270"/>
      <c r="H308" s="1005"/>
      <c r="I308" s="1005"/>
      <c r="J308" s="1005"/>
      <c r="K308" s="1005"/>
      <c r="L308" s="1005"/>
      <c r="M308" s="1005"/>
    </row>
    <row r="309" spans="1:13">
      <c r="A309" s="1034" t="s">
        <v>325</v>
      </c>
      <c r="B309" s="1035" t="s">
        <v>378</v>
      </c>
      <c r="C309" s="1035" t="s">
        <v>379</v>
      </c>
      <c r="D309" s="1035" t="s">
        <v>350</v>
      </c>
      <c r="E309" s="1035" t="s">
        <v>293</v>
      </c>
      <c r="F309" s="2273" t="s">
        <v>380</v>
      </c>
      <c r="G309" s="2275"/>
      <c r="H309" s="1005"/>
      <c r="I309" s="1005"/>
      <c r="J309" s="1005"/>
      <c r="K309" s="1005"/>
      <c r="L309" s="1005"/>
      <c r="M309" s="1005"/>
    </row>
    <row r="310" spans="1:13">
      <c r="A310" s="1118" t="s">
        <v>763</v>
      </c>
      <c r="B310" s="1038">
        <v>0.4</v>
      </c>
      <c r="C310" s="1144">
        <v>0.6</v>
      </c>
      <c r="D310" s="1144">
        <f>ROUNDUP(B310*C310,2)</f>
        <v>0.24</v>
      </c>
      <c r="E310" s="1144">
        <v>2</v>
      </c>
      <c r="F310" s="2451">
        <f>E310*D310</f>
        <v>0.48</v>
      </c>
      <c r="G310" s="2452"/>
      <c r="H310" s="1005"/>
      <c r="I310" s="1005"/>
      <c r="J310" s="1005"/>
      <c r="K310" s="1005"/>
      <c r="L310" s="1005"/>
      <c r="M310" s="1005"/>
    </row>
    <row r="311" spans="1:13" ht="15.75" thickBot="1">
      <c r="A311" s="2256" t="s">
        <v>357</v>
      </c>
      <c r="B311" s="2257"/>
      <c r="C311" s="2257"/>
      <c r="D311" s="2257"/>
      <c r="E311" s="2257"/>
      <c r="F311" s="2258"/>
      <c r="G311" s="1106">
        <f>ROUNDUP(F310,2)</f>
        <v>0.48</v>
      </c>
      <c r="H311" s="1005"/>
      <c r="I311" s="1098">
        <f>G304+G311+G290+G283</f>
        <v>24.839999999999996</v>
      </c>
      <c r="J311" s="1005"/>
      <c r="K311" s="1005"/>
      <c r="L311" s="1005"/>
      <c r="M311" s="1005"/>
    </row>
    <row r="312" spans="1:13" ht="15.75" thickBot="1">
      <c r="A312" s="1141"/>
      <c r="B312" s="1142"/>
      <c r="C312" s="1086"/>
      <c r="D312" s="1086"/>
      <c r="E312" s="1086"/>
      <c r="F312" s="1086"/>
      <c r="G312" s="1109"/>
      <c r="H312" s="1005"/>
      <c r="I312" s="1005"/>
      <c r="J312" s="1005"/>
      <c r="K312" s="1005"/>
      <c r="L312" s="1005"/>
      <c r="M312" s="1005"/>
    </row>
    <row r="313" spans="1:13" ht="15.75" thickBot="1">
      <c r="A313" s="1019" t="s">
        <v>762</v>
      </c>
      <c r="B313" s="2262" t="s">
        <v>764</v>
      </c>
      <c r="C313" s="2263"/>
      <c r="D313" s="2263"/>
      <c r="E313" s="2263"/>
      <c r="F313" s="2263"/>
      <c r="G313" s="2264"/>
      <c r="H313" s="1005"/>
      <c r="I313" s="1020" t="s">
        <v>489</v>
      </c>
      <c r="J313" s="1005"/>
      <c r="K313" s="1005"/>
      <c r="L313" s="1005"/>
      <c r="M313" s="1005"/>
    </row>
    <row r="314" spans="1:13">
      <c r="A314" s="2281" t="s">
        <v>320</v>
      </c>
      <c r="B314" s="2282"/>
      <c r="C314" s="2282"/>
      <c r="D314" s="2282"/>
      <c r="E314" s="2282"/>
      <c r="F314" s="2282"/>
      <c r="G314" s="2283"/>
      <c r="H314" s="1005"/>
      <c r="I314" s="1005"/>
      <c r="J314" s="1005"/>
      <c r="K314" s="1005"/>
      <c r="L314" s="1005"/>
      <c r="M314" s="1005"/>
    </row>
    <row r="315" spans="1:13">
      <c r="A315" s="2268" t="s">
        <v>393</v>
      </c>
      <c r="B315" s="2269"/>
      <c r="C315" s="2269"/>
      <c r="D315" s="2269"/>
      <c r="E315" s="2269"/>
      <c r="F315" s="2269"/>
      <c r="G315" s="2270"/>
      <c r="H315" s="1005"/>
      <c r="I315" s="1005"/>
      <c r="J315" s="1005"/>
      <c r="K315" s="1005"/>
      <c r="L315" s="1005"/>
      <c r="M315" s="1005"/>
    </row>
    <row r="316" spans="1:13">
      <c r="A316" s="1034" t="s">
        <v>394</v>
      </c>
      <c r="B316" s="1035" t="s">
        <v>362</v>
      </c>
      <c r="C316" s="1035" t="s">
        <v>372</v>
      </c>
      <c r="D316" s="1035" t="s">
        <v>293</v>
      </c>
      <c r="E316" s="1035" t="s">
        <v>395</v>
      </c>
      <c r="F316" s="2273"/>
      <c r="G316" s="2275"/>
      <c r="H316" s="1005"/>
      <c r="I316" s="1005"/>
      <c r="J316" s="1005"/>
      <c r="K316" s="1005"/>
      <c r="L316" s="1005"/>
      <c r="M316" s="1005"/>
    </row>
    <row r="317" spans="1:13">
      <c r="A317" s="1118" t="s">
        <v>386</v>
      </c>
      <c r="B317" s="1038">
        <v>0.2</v>
      </c>
      <c r="C317" s="1038">
        <v>1.1000000000000001</v>
      </c>
      <c r="D317" s="1120">
        <v>11</v>
      </c>
      <c r="E317" s="1145">
        <f>C317*D317</f>
        <v>12.100000000000001</v>
      </c>
      <c r="F317" s="2443" t="s">
        <v>765</v>
      </c>
      <c r="G317" s="2444"/>
      <c r="H317" s="1005"/>
      <c r="I317" s="1005"/>
      <c r="J317" s="1005"/>
      <c r="K317" s="1005"/>
      <c r="L317" s="1005"/>
      <c r="M317" s="1005"/>
    </row>
    <row r="318" spans="1:13">
      <c r="A318" s="1118" t="s">
        <v>387</v>
      </c>
      <c r="B318" s="1038">
        <v>0.2</v>
      </c>
      <c r="C318" s="1038">
        <v>2.2999999999999998</v>
      </c>
      <c r="D318" s="1120">
        <v>6</v>
      </c>
      <c r="E318" s="1145">
        <f>C318*D318</f>
        <v>13.799999999999999</v>
      </c>
      <c r="F318" s="2445"/>
      <c r="G318" s="2446"/>
      <c r="H318" s="1005"/>
      <c r="I318" s="1005"/>
      <c r="J318" s="1005"/>
      <c r="K318" s="1005"/>
      <c r="L318" s="1005"/>
      <c r="M318" s="1005"/>
    </row>
    <row r="319" spans="1:13">
      <c r="A319" s="1118" t="s">
        <v>389</v>
      </c>
      <c r="B319" s="1038">
        <v>0.2</v>
      </c>
      <c r="C319" s="1038">
        <v>2.2000000000000002</v>
      </c>
      <c r="D319" s="1120">
        <v>2</v>
      </c>
      <c r="E319" s="1145">
        <f>C319*D319</f>
        <v>4.4000000000000004</v>
      </c>
      <c r="F319" s="2445"/>
      <c r="G319" s="2446"/>
      <c r="H319" s="1005"/>
      <c r="I319" s="1005"/>
      <c r="J319" s="1005"/>
      <c r="K319" s="1005"/>
      <c r="L319" s="1005"/>
      <c r="M319" s="1005"/>
    </row>
    <row r="320" spans="1:13">
      <c r="A320" s="1118" t="s">
        <v>391</v>
      </c>
      <c r="B320" s="1038">
        <v>0.2</v>
      </c>
      <c r="C320" s="1038">
        <v>1.2</v>
      </c>
      <c r="D320" s="1120">
        <v>1</v>
      </c>
      <c r="E320" s="1145">
        <f>C320*D320</f>
        <v>1.2</v>
      </c>
      <c r="F320" s="2445"/>
      <c r="G320" s="2446"/>
      <c r="H320" s="1005"/>
      <c r="I320" s="1005"/>
      <c r="J320" s="1005"/>
      <c r="K320" s="1005"/>
      <c r="L320" s="1005"/>
      <c r="M320" s="1005"/>
    </row>
    <row r="321" spans="1:13" ht="15.75" thickBot="1">
      <c r="A321" s="2256" t="s">
        <v>324</v>
      </c>
      <c r="B321" s="2257"/>
      <c r="C321" s="2257"/>
      <c r="D321" s="2258"/>
      <c r="E321" s="1137">
        <f>SUM(E317:E320)</f>
        <v>31.499999999999996</v>
      </c>
      <c r="F321" s="1146"/>
      <c r="G321" s="1147"/>
      <c r="H321" s="1005"/>
      <c r="I321" s="1005"/>
      <c r="J321" s="1005"/>
      <c r="K321" s="1005"/>
      <c r="L321" s="1005"/>
      <c r="M321" s="1005"/>
    </row>
    <row r="322" spans="1:13" ht="15.75" thickBot="1">
      <c r="A322" s="1006"/>
      <c r="B322" s="1007"/>
      <c r="C322" s="1007"/>
      <c r="D322" s="1007"/>
      <c r="E322" s="1007"/>
      <c r="F322" s="1007"/>
      <c r="G322" s="1008"/>
      <c r="H322" s="1005"/>
      <c r="I322" s="1005"/>
      <c r="J322" s="1005"/>
      <c r="K322" s="1005"/>
      <c r="L322" s="1005"/>
      <c r="M322" s="1005"/>
    </row>
    <row r="323" spans="1:13" ht="15.75" thickBot="1">
      <c r="A323" s="1019" t="s">
        <v>766</v>
      </c>
      <c r="B323" s="2262" t="s">
        <v>767</v>
      </c>
      <c r="C323" s="2263"/>
      <c r="D323" s="2263"/>
      <c r="E323" s="2263"/>
      <c r="F323" s="2263"/>
      <c r="G323" s="2264"/>
      <c r="H323" s="1005"/>
      <c r="I323" s="1020" t="s">
        <v>489</v>
      </c>
      <c r="J323" s="1005"/>
      <c r="K323" s="1005"/>
      <c r="L323" s="1005"/>
      <c r="M323" s="1005"/>
    </row>
    <row r="324" spans="1:13">
      <c r="A324" s="2304" t="s">
        <v>320</v>
      </c>
      <c r="B324" s="2305"/>
      <c r="C324" s="2305"/>
      <c r="D324" s="2305"/>
      <c r="E324" s="2305"/>
      <c r="F324" s="2305"/>
      <c r="G324" s="2306"/>
      <c r="H324" s="1005"/>
      <c r="I324" s="1005"/>
      <c r="J324" s="1005"/>
      <c r="K324" s="1005"/>
      <c r="L324" s="1005"/>
      <c r="M324" s="1005"/>
    </row>
    <row r="325" spans="1:13" ht="15.75" thickBot="1">
      <c r="A325" s="2448" t="s">
        <v>393</v>
      </c>
      <c r="B325" s="2449"/>
      <c r="C325" s="2449"/>
      <c r="D325" s="2449"/>
      <c r="E325" s="2449"/>
      <c r="F325" s="2449"/>
      <c r="G325" s="2450"/>
      <c r="H325" s="1005"/>
      <c r="I325" s="1005"/>
      <c r="J325" s="1005"/>
      <c r="K325" s="1005"/>
      <c r="L325" s="1005"/>
      <c r="M325" s="1005"/>
    </row>
    <row r="326" spans="1:13">
      <c r="A326" s="1034" t="s">
        <v>339</v>
      </c>
      <c r="B326" s="1035" t="s">
        <v>685</v>
      </c>
      <c r="C326" s="1036" t="s">
        <v>362</v>
      </c>
      <c r="D326" s="1035" t="s">
        <v>327</v>
      </c>
      <c r="E326" s="2273" t="s">
        <v>323</v>
      </c>
      <c r="F326" s="2274"/>
      <c r="G326" s="2275"/>
      <c r="H326" s="1005"/>
      <c r="I326" s="1005"/>
      <c r="J326" s="1005"/>
      <c r="K326" s="1005"/>
      <c r="L326" s="1005"/>
      <c r="M326" s="1005"/>
    </row>
    <row r="327" spans="1:13" ht="15.75" thickBot="1">
      <c r="A327" s="1148" t="s">
        <v>768</v>
      </c>
      <c r="B327" s="1149">
        <f>5.4+2.9</f>
        <v>8.3000000000000007</v>
      </c>
      <c r="C327" s="1150">
        <v>0.05</v>
      </c>
      <c r="D327" s="1149">
        <f>B327*C327</f>
        <v>0.41500000000000004</v>
      </c>
      <c r="E327" s="2449"/>
      <c r="F327" s="2449"/>
      <c r="G327" s="2450"/>
      <c r="H327" s="1005"/>
      <c r="I327" s="1005"/>
      <c r="J327" s="1005"/>
      <c r="K327" s="1005"/>
      <c r="L327" s="1005"/>
      <c r="M327" s="1005"/>
    </row>
    <row r="328" spans="1:13" ht="15.75" thickBot="1">
      <c r="A328" s="1006"/>
      <c r="B328" s="1007"/>
      <c r="C328" s="1007"/>
      <c r="D328" s="1007"/>
      <c r="E328" s="1007"/>
      <c r="F328" s="1007"/>
      <c r="G328" s="1008"/>
      <c r="H328" s="1005"/>
      <c r="I328" s="1005"/>
      <c r="J328" s="1005"/>
      <c r="K328" s="1005"/>
      <c r="L328" s="1005"/>
      <c r="M328" s="1005"/>
    </row>
    <row r="329" spans="1:13" ht="15.75" thickBot="1">
      <c r="A329" s="1019" t="s">
        <v>769</v>
      </c>
      <c r="B329" s="2262" t="s">
        <v>770</v>
      </c>
      <c r="C329" s="2263"/>
      <c r="D329" s="2263"/>
      <c r="E329" s="2263"/>
      <c r="F329" s="2263"/>
      <c r="G329" s="2264"/>
      <c r="H329" s="1005"/>
      <c r="I329" s="1020" t="s">
        <v>489</v>
      </c>
      <c r="J329" s="1005"/>
      <c r="K329" s="1005"/>
      <c r="L329" s="1005"/>
      <c r="M329" s="1005"/>
    </row>
    <row r="330" spans="1:13">
      <c r="A330" s="2281" t="s">
        <v>320</v>
      </c>
      <c r="B330" s="2282"/>
      <c r="C330" s="2282"/>
      <c r="D330" s="2282"/>
      <c r="E330" s="2282"/>
      <c r="F330" s="2282"/>
      <c r="G330" s="2283"/>
      <c r="H330" s="1005"/>
      <c r="I330" s="1005"/>
      <c r="J330" s="1005"/>
      <c r="K330" s="1005"/>
      <c r="L330" s="1005"/>
      <c r="M330" s="1005"/>
    </row>
    <row r="331" spans="1:13">
      <c r="A331" s="2268" t="s">
        <v>393</v>
      </c>
      <c r="B331" s="2269"/>
      <c r="C331" s="2269"/>
      <c r="D331" s="2269"/>
      <c r="E331" s="2269"/>
      <c r="F331" s="2269"/>
      <c r="G331" s="2270"/>
      <c r="H331" s="1005"/>
      <c r="I331" s="1005"/>
      <c r="J331" s="1005"/>
      <c r="K331" s="1005"/>
      <c r="L331" s="1005"/>
      <c r="M331" s="1005"/>
    </row>
    <row r="332" spans="1:13">
      <c r="A332" s="1034" t="s">
        <v>394</v>
      </c>
      <c r="B332" s="1035" t="s">
        <v>362</v>
      </c>
      <c r="C332" s="1035" t="s">
        <v>372</v>
      </c>
      <c r="D332" s="1035" t="s">
        <v>293</v>
      </c>
      <c r="E332" s="1035" t="s">
        <v>395</v>
      </c>
      <c r="F332" s="2273"/>
      <c r="G332" s="2275"/>
      <c r="H332" s="1005"/>
      <c r="I332" s="1005"/>
      <c r="J332" s="1005"/>
      <c r="K332" s="1005"/>
      <c r="L332" s="1005"/>
      <c r="M332" s="1005"/>
    </row>
    <row r="333" spans="1:13">
      <c r="A333" s="1118" t="s">
        <v>381</v>
      </c>
      <c r="B333" s="1119">
        <v>0.16</v>
      </c>
      <c r="C333" s="1119">
        <v>1.3</v>
      </c>
      <c r="D333" s="1132">
        <v>1</v>
      </c>
      <c r="E333" s="1133">
        <f>C333*D333</f>
        <v>1.3</v>
      </c>
      <c r="F333" s="2443" t="s">
        <v>396</v>
      </c>
      <c r="G333" s="2444"/>
      <c r="H333" s="1005"/>
      <c r="I333" s="1005"/>
      <c r="J333" s="1005"/>
      <c r="K333" s="1005"/>
      <c r="L333" s="1005"/>
      <c r="M333" s="1005"/>
    </row>
    <row r="334" spans="1:13">
      <c r="A334" s="1118" t="s">
        <v>385</v>
      </c>
      <c r="B334" s="1119">
        <v>0.16</v>
      </c>
      <c r="C334" s="1119">
        <v>0.9</v>
      </c>
      <c r="D334" s="1038">
        <v>1</v>
      </c>
      <c r="E334" s="1133">
        <f>C334*D334</f>
        <v>0.9</v>
      </c>
      <c r="F334" s="2445"/>
      <c r="G334" s="2446"/>
      <c r="H334" s="1005"/>
      <c r="I334" s="1005"/>
      <c r="J334" s="1005"/>
      <c r="K334" s="1005"/>
      <c r="L334" s="1005"/>
      <c r="M334" s="1005"/>
    </row>
    <row r="335" spans="1:13">
      <c r="A335" s="1118" t="s">
        <v>753</v>
      </c>
      <c r="B335" s="1119">
        <v>0.16</v>
      </c>
      <c r="C335" s="1119">
        <v>1.6</v>
      </c>
      <c r="D335" s="1038">
        <v>1</v>
      </c>
      <c r="E335" s="1133">
        <f>C335*D335</f>
        <v>1.6</v>
      </c>
      <c r="F335" s="2447"/>
      <c r="G335" s="2267"/>
      <c r="H335" s="1005"/>
      <c r="I335" s="1005"/>
      <c r="J335" s="1005"/>
      <c r="K335" s="1005"/>
      <c r="L335" s="1005"/>
      <c r="M335" s="1005"/>
    </row>
    <row r="336" spans="1:13" ht="15.75" thickBot="1">
      <c r="A336" s="2256" t="s">
        <v>324</v>
      </c>
      <c r="B336" s="2257"/>
      <c r="C336" s="2257"/>
      <c r="D336" s="2258"/>
      <c r="E336" s="1137">
        <f>ROUNDUP(E333+E334+E335,2)</f>
        <v>3.8</v>
      </c>
      <c r="F336" s="1151"/>
      <c r="G336" s="1152"/>
      <c r="H336" s="1005"/>
      <c r="I336" s="1005"/>
      <c r="J336" s="1005"/>
      <c r="K336" s="1005"/>
      <c r="L336" s="1005"/>
      <c r="M336" s="1005"/>
    </row>
    <row r="337" spans="1:13" ht="15.75" thickBot="1">
      <c r="A337" s="1006"/>
      <c r="B337" s="1007"/>
      <c r="C337" s="1007"/>
      <c r="D337" s="1007"/>
      <c r="E337" s="1007"/>
      <c r="F337" s="1007"/>
      <c r="G337" s="1008"/>
      <c r="H337" s="1005"/>
      <c r="I337" s="1005"/>
      <c r="J337" s="1005"/>
      <c r="K337" s="1005"/>
      <c r="L337" s="1005"/>
      <c r="M337" s="1005"/>
    </row>
    <row r="338" spans="1:13" ht="15.75" thickBot="1">
      <c r="A338" s="1019" t="s">
        <v>400</v>
      </c>
      <c r="B338" s="2262" t="s">
        <v>401</v>
      </c>
      <c r="C338" s="2263"/>
      <c r="D338" s="2263"/>
      <c r="E338" s="2263"/>
      <c r="F338" s="2263"/>
      <c r="G338" s="2264"/>
      <c r="H338" s="1005"/>
      <c r="I338" s="1005"/>
      <c r="J338" s="1005"/>
      <c r="K338" s="1005"/>
      <c r="L338" s="1005"/>
      <c r="M338" s="1005"/>
    </row>
    <row r="339" spans="1:13" ht="15.75" thickBot="1">
      <c r="A339" s="1019" t="s">
        <v>76</v>
      </c>
      <c r="B339" s="2262" t="s">
        <v>771</v>
      </c>
      <c r="C339" s="2263"/>
      <c r="D339" s="2263"/>
      <c r="E339" s="2263"/>
      <c r="F339" s="2263"/>
      <c r="G339" s="2264"/>
      <c r="H339" s="1005"/>
      <c r="I339" s="1020" t="s">
        <v>489</v>
      </c>
      <c r="J339" s="1005"/>
      <c r="K339" s="1005"/>
      <c r="L339" s="1005"/>
      <c r="M339" s="1005"/>
    </row>
    <row r="340" spans="1:13">
      <c r="A340" s="2265" t="s">
        <v>320</v>
      </c>
      <c r="B340" s="2266"/>
      <c r="C340" s="2266"/>
      <c r="D340" s="2266"/>
      <c r="E340" s="2266"/>
      <c r="F340" s="2266"/>
      <c r="G340" s="2267"/>
      <c r="H340" s="1005"/>
      <c r="I340" s="1005"/>
      <c r="J340" s="1005"/>
      <c r="K340" s="1005"/>
      <c r="L340" s="1005"/>
      <c r="M340" s="1005"/>
    </row>
    <row r="341" spans="1:13">
      <c r="A341" s="2419" t="s">
        <v>402</v>
      </c>
      <c r="B341" s="2420"/>
      <c r="C341" s="2420"/>
      <c r="D341" s="2420"/>
      <c r="E341" s="2420"/>
      <c r="F341" s="2420"/>
      <c r="G341" s="2421"/>
      <c r="H341" s="1005"/>
      <c r="I341" s="1005"/>
      <c r="J341" s="1005"/>
      <c r="K341" s="1005"/>
      <c r="L341" s="1005"/>
      <c r="M341" s="1005"/>
    </row>
    <row r="342" spans="1:13">
      <c r="A342" s="2419"/>
      <c r="B342" s="2420"/>
      <c r="C342" s="2420"/>
      <c r="D342" s="2420"/>
      <c r="E342" s="2420"/>
      <c r="F342" s="2420"/>
      <c r="G342" s="2421"/>
      <c r="H342" s="1005"/>
      <c r="I342" s="1005"/>
      <c r="J342" s="1005"/>
      <c r="K342" s="1005"/>
      <c r="L342" s="1005"/>
      <c r="M342" s="1005"/>
    </row>
    <row r="343" spans="1:13">
      <c r="A343" s="1067"/>
      <c r="B343" s="1068"/>
      <c r="C343" s="1068"/>
      <c r="D343" s="1068"/>
      <c r="E343" s="1068"/>
      <c r="F343" s="1068"/>
      <c r="G343" s="1069"/>
      <c r="H343" s="1005"/>
      <c r="I343" s="1005"/>
      <c r="J343" s="1005"/>
      <c r="K343" s="1005"/>
      <c r="L343" s="1005"/>
      <c r="M343" s="1005"/>
    </row>
    <row r="344" spans="1:13">
      <c r="A344" s="1067"/>
      <c r="B344" s="1068"/>
      <c r="C344" s="1068"/>
      <c r="D344" s="1068"/>
      <c r="E344" s="1068"/>
      <c r="F344" s="1068"/>
      <c r="G344" s="1069"/>
      <c r="H344" s="1005"/>
      <c r="I344" s="1005"/>
      <c r="J344" s="1005"/>
      <c r="K344" s="1005"/>
      <c r="L344" s="1005"/>
      <c r="M344" s="1005"/>
    </row>
    <row r="345" spans="1:13">
      <c r="A345" s="1067"/>
      <c r="B345" s="1068"/>
      <c r="C345" s="1068"/>
      <c r="D345" s="1068"/>
      <c r="E345" s="1068"/>
      <c r="F345" s="1068"/>
      <c r="G345" s="1069"/>
      <c r="H345" s="1005"/>
      <c r="I345" s="1005"/>
      <c r="J345" s="1005"/>
      <c r="K345" s="1005"/>
      <c r="L345" s="1005"/>
      <c r="M345" s="1005"/>
    </row>
    <row r="346" spans="1:13">
      <c r="A346" s="1067"/>
      <c r="B346" s="1068"/>
      <c r="C346" s="1068"/>
      <c r="D346" s="1068"/>
      <c r="E346" s="1068"/>
      <c r="F346" s="1068"/>
      <c r="G346" s="1069"/>
      <c r="H346" s="1005"/>
      <c r="I346" s="1005"/>
      <c r="J346" s="1005"/>
      <c r="K346" s="1005"/>
      <c r="L346" s="1005"/>
      <c r="M346" s="1005"/>
    </row>
    <row r="347" spans="1:13">
      <c r="A347" s="1067"/>
      <c r="B347" s="1068"/>
      <c r="C347" s="1068"/>
      <c r="D347" s="1068"/>
      <c r="E347" s="1068"/>
      <c r="F347" s="1068"/>
      <c r="G347" s="1069"/>
      <c r="H347" s="1005"/>
      <c r="I347" s="1005"/>
      <c r="J347" s="1005"/>
      <c r="K347" s="1005"/>
      <c r="L347" s="1005"/>
      <c r="M347" s="1005"/>
    </row>
    <row r="348" spans="1:13">
      <c r="A348" s="1067"/>
      <c r="B348" s="1068"/>
      <c r="C348" s="1068"/>
      <c r="D348" s="1068"/>
      <c r="E348" s="1068"/>
      <c r="F348" s="1068"/>
      <c r="G348" s="1069"/>
      <c r="H348" s="1005"/>
      <c r="I348" s="1005"/>
      <c r="J348" s="1005"/>
      <c r="K348" s="1005"/>
      <c r="L348" s="1005"/>
      <c r="M348" s="1005"/>
    </row>
    <row r="349" spans="1:13">
      <c r="A349" s="1067"/>
      <c r="B349" s="1068"/>
      <c r="C349" s="1068"/>
      <c r="D349" s="1068"/>
      <c r="E349" s="1068"/>
      <c r="F349" s="1068"/>
      <c r="G349" s="1069"/>
      <c r="H349" s="1005"/>
      <c r="I349" s="1005"/>
      <c r="J349" s="1005"/>
      <c r="K349" s="1005"/>
      <c r="L349" s="1005"/>
      <c r="M349" s="1005"/>
    </row>
    <row r="350" spans="1:13">
      <c r="A350" s="1067"/>
      <c r="B350" s="1068"/>
      <c r="C350" s="1068"/>
      <c r="D350" s="1068"/>
      <c r="E350" s="1068"/>
      <c r="F350" s="1068"/>
      <c r="G350" s="1069"/>
      <c r="H350" s="1005"/>
      <c r="I350" s="1005"/>
      <c r="J350" s="1005"/>
      <c r="K350" s="1005"/>
      <c r="L350" s="1005"/>
      <c r="M350" s="1005"/>
    </row>
    <row r="351" spans="1:13">
      <c r="A351" s="1067"/>
      <c r="B351" s="1068"/>
      <c r="C351" s="1068"/>
      <c r="D351" s="1068"/>
      <c r="E351" s="1068"/>
      <c r="F351" s="1068"/>
      <c r="G351" s="1069"/>
      <c r="H351" s="1005"/>
      <c r="I351" s="1005"/>
      <c r="J351" s="1005"/>
      <c r="K351" s="1005"/>
      <c r="L351" s="1005"/>
      <c r="M351" s="1005"/>
    </row>
    <row r="352" spans="1:13">
      <c r="A352" s="1067"/>
      <c r="B352" s="1068"/>
      <c r="C352" s="1068"/>
      <c r="D352" s="1068"/>
      <c r="E352" s="1068"/>
      <c r="F352" s="1068"/>
      <c r="G352" s="1069"/>
      <c r="H352" s="1005"/>
      <c r="I352" s="1005"/>
      <c r="J352" s="1005"/>
      <c r="K352" s="1005"/>
      <c r="L352" s="1005"/>
      <c r="M352" s="1005"/>
    </row>
    <row r="353" spans="1:13">
      <c r="A353" s="1067"/>
      <c r="B353" s="1068"/>
      <c r="C353" s="1068"/>
      <c r="D353" s="1068"/>
      <c r="E353" s="2342" t="s">
        <v>338</v>
      </c>
      <c r="F353" s="2342"/>
      <c r="G353" s="1069"/>
      <c r="H353" s="1005"/>
      <c r="I353" s="1005"/>
      <c r="J353" s="1005"/>
      <c r="K353" s="1005"/>
      <c r="L353" s="1005"/>
      <c r="M353" s="1005"/>
    </row>
    <row r="354" spans="1:13">
      <c r="A354" s="1034" t="s">
        <v>339</v>
      </c>
      <c r="B354" s="1035" t="s">
        <v>339</v>
      </c>
      <c r="C354" s="1035" t="s">
        <v>349</v>
      </c>
      <c r="D354" s="1035" t="s">
        <v>350</v>
      </c>
      <c r="E354" s="1035" t="s">
        <v>351</v>
      </c>
      <c r="F354" s="1035" t="s">
        <v>352</v>
      </c>
      <c r="G354" s="1093" t="s">
        <v>353</v>
      </c>
      <c r="H354" s="1005"/>
      <c r="I354" s="1005"/>
      <c r="J354" s="1005"/>
      <c r="K354" s="1005"/>
      <c r="L354" s="1005"/>
      <c r="M354" s="1005"/>
    </row>
    <row r="355" spans="1:13">
      <c r="A355" s="2387" t="s">
        <v>772</v>
      </c>
      <c r="B355" s="2388"/>
      <c r="C355" s="2388"/>
      <c r="D355" s="2388"/>
      <c r="E355" s="2388"/>
      <c r="F355" s="2388"/>
      <c r="G355" s="2389"/>
      <c r="H355" s="1005"/>
      <c r="I355" s="1005"/>
      <c r="J355" s="1005"/>
      <c r="K355" s="1005"/>
      <c r="L355" s="1005"/>
      <c r="M355" s="1005"/>
    </row>
    <row r="356" spans="1:13">
      <c r="A356" s="1049" t="s">
        <v>773</v>
      </c>
      <c r="B356" s="1071">
        <v>1.5</v>
      </c>
      <c r="C356" s="1071">
        <v>2.8</v>
      </c>
      <c r="D356" s="1071">
        <f t="shared" ref="D356:D363" si="2">B356*C356</f>
        <v>4.1999999999999993</v>
      </c>
      <c r="E356" s="1071"/>
      <c r="F356" s="1071"/>
      <c r="G356" s="1096">
        <f t="shared" ref="G356:G363" si="3">D356-F356</f>
        <v>4.1999999999999993</v>
      </c>
      <c r="H356" s="1005"/>
      <c r="I356" s="1005"/>
      <c r="J356" s="1005"/>
      <c r="K356" s="1005"/>
      <c r="L356" s="1005"/>
      <c r="M356" s="1005"/>
    </row>
    <row r="357" spans="1:13">
      <c r="A357" s="1049" t="s">
        <v>774</v>
      </c>
      <c r="B357" s="1153">
        <v>1.95</v>
      </c>
      <c r="C357" s="1071">
        <v>2.8</v>
      </c>
      <c r="D357" s="1071">
        <f t="shared" si="2"/>
        <v>5.46</v>
      </c>
      <c r="E357" s="1095" t="s">
        <v>775</v>
      </c>
      <c r="F357" s="1071">
        <f>0.8*2.1</f>
        <v>1.6800000000000002</v>
      </c>
      <c r="G357" s="1096">
        <f t="shared" si="3"/>
        <v>3.78</v>
      </c>
      <c r="H357" s="1005"/>
      <c r="I357" s="1005"/>
      <c r="J357" s="1005"/>
      <c r="K357" s="1005"/>
      <c r="L357" s="1005"/>
      <c r="M357" s="1005"/>
    </row>
    <row r="358" spans="1:13" ht="36">
      <c r="A358" s="1049" t="s">
        <v>776</v>
      </c>
      <c r="B358" s="1071">
        <f>1.05+2.85+3.85+1.85+1.08+2</f>
        <v>12.68</v>
      </c>
      <c r="C358" s="1071">
        <v>0.7</v>
      </c>
      <c r="D358" s="1071">
        <f t="shared" si="2"/>
        <v>8.8759999999999994</v>
      </c>
      <c r="E358" s="1071"/>
      <c r="F358" s="1071"/>
      <c r="G358" s="1096">
        <f t="shared" si="3"/>
        <v>8.8759999999999994</v>
      </c>
      <c r="H358" s="1005"/>
      <c r="I358" s="1005"/>
      <c r="J358" s="1005"/>
      <c r="K358" s="1005"/>
      <c r="L358" s="1005"/>
      <c r="M358" s="1005"/>
    </row>
    <row r="359" spans="1:13" ht="36">
      <c r="A359" s="1049" t="s">
        <v>777</v>
      </c>
      <c r="B359" s="1071">
        <f>1.05+2.85+3.85+1.85+1.08+2</f>
        <v>12.68</v>
      </c>
      <c r="C359" s="1071">
        <v>0.7</v>
      </c>
      <c r="D359" s="1071">
        <f t="shared" si="2"/>
        <v>8.8759999999999994</v>
      </c>
      <c r="E359" s="1071"/>
      <c r="F359" s="1071"/>
      <c r="G359" s="1096">
        <f t="shared" si="3"/>
        <v>8.8759999999999994</v>
      </c>
      <c r="H359" s="1005"/>
      <c r="I359" s="1005"/>
      <c r="J359" s="1005"/>
      <c r="K359" s="1005"/>
      <c r="L359" s="1005"/>
      <c r="M359" s="1005"/>
    </row>
    <row r="360" spans="1:13" ht="24">
      <c r="A360" s="1049" t="s">
        <v>2146</v>
      </c>
      <c r="B360" s="1071">
        <f>1.85+1.65+1.85+1.65</f>
        <v>7</v>
      </c>
      <c r="C360" s="1071">
        <v>0.7</v>
      </c>
      <c r="D360" s="1071">
        <f t="shared" si="2"/>
        <v>4.8999999999999995</v>
      </c>
      <c r="E360" s="1095" t="s">
        <v>814</v>
      </c>
      <c r="F360" s="1071">
        <f>0.4*0.6</f>
        <v>0.24</v>
      </c>
      <c r="G360" s="1096">
        <f t="shared" si="3"/>
        <v>4.6599999999999993</v>
      </c>
      <c r="H360" s="1005"/>
      <c r="I360" s="1005"/>
      <c r="J360" s="1005"/>
      <c r="K360" s="1005"/>
      <c r="L360" s="1005"/>
      <c r="M360" s="1005"/>
    </row>
    <row r="361" spans="1:13" ht="24">
      <c r="A361" s="1049" t="s">
        <v>2147</v>
      </c>
      <c r="B361" s="1071">
        <f>1.85+1.65+1.85+1.65</f>
        <v>7</v>
      </c>
      <c r="C361" s="1071">
        <v>0.7</v>
      </c>
      <c r="D361" s="1071">
        <f t="shared" si="2"/>
        <v>4.8999999999999995</v>
      </c>
      <c r="E361" s="1095" t="s">
        <v>814</v>
      </c>
      <c r="F361" s="1071">
        <f>0.4*0.6</f>
        <v>0.24</v>
      </c>
      <c r="G361" s="1096">
        <f t="shared" si="3"/>
        <v>4.6599999999999993</v>
      </c>
      <c r="H361" s="1005"/>
      <c r="I361" s="1005"/>
      <c r="J361" s="1005"/>
      <c r="K361" s="1005"/>
      <c r="L361" s="1005"/>
      <c r="M361" s="1005"/>
    </row>
    <row r="362" spans="1:13" ht="24">
      <c r="A362" s="1049" t="s">
        <v>780</v>
      </c>
      <c r="B362" s="1071">
        <f>1.35+1.35+2.35+2.35</f>
        <v>7.4</v>
      </c>
      <c r="C362" s="1071">
        <v>0.7</v>
      </c>
      <c r="D362" s="1071">
        <f t="shared" si="2"/>
        <v>5.18</v>
      </c>
      <c r="E362" s="1071"/>
      <c r="F362" s="1071"/>
      <c r="G362" s="1096">
        <f t="shared" si="3"/>
        <v>5.18</v>
      </c>
      <c r="H362" s="1005"/>
      <c r="I362" s="1005"/>
      <c r="J362" s="1005"/>
      <c r="K362" s="1005"/>
      <c r="L362" s="1005"/>
      <c r="M362" s="1005"/>
    </row>
    <row r="363" spans="1:13" ht="24">
      <c r="A363" s="1049" t="s">
        <v>781</v>
      </c>
      <c r="B363" s="1071">
        <f>3.85+3.85+2+2</f>
        <v>11.7</v>
      </c>
      <c r="C363" s="1071">
        <v>0.7</v>
      </c>
      <c r="D363" s="1071">
        <f t="shared" si="2"/>
        <v>8.19</v>
      </c>
      <c r="E363" s="1071"/>
      <c r="F363" s="1071"/>
      <c r="G363" s="1096">
        <f t="shared" si="3"/>
        <v>8.19</v>
      </c>
      <c r="H363" s="1005"/>
      <c r="I363" s="1005"/>
      <c r="J363" s="1005"/>
      <c r="K363" s="1005"/>
      <c r="L363" s="1005"/>
      <c r="M363" s="1005"/>
    </row>
    <row r="364" spans="1:13">
      <c r="A364" s="2334"/>
      <c r="B364" s="2254"/>
      <c r="C364" s="2254"/>
      <c r="D364" s="2254"/>
      <c r="E364" s="2254"/>
      <c r="F364" s="2254"/>
      <c r="G364" s="2255"/>
      <c r="H364" s="1005"/>
      <c r="I364" s="1005"/>
      <c r="J364" s="1005"/>
      <c r="K364" s="1005"/>
      <c r="L364" s="1005"/>
      <c r="M364" s="1005"/>
    </row>
    <row r="365" spans="1:13">
      <c r="A365" s="2387" t="s">
        <v>782</v>
      </c>
      <c r="B365" s="2388"/>
      <c r="C365" s="2388"/>
      <c r="D365" s="2388"/>
      <c r="E365" s="2388"/>
      <c r="F365" s="2388"/>
      <c r="G365" s="2389"/>
      <c r="H365" s="1005"/>
      <c r="I365" s="1005"/>
      <c r="J365" s="1005"/>
      <c r="K365" s="1005"/>
      <c r="L365" s="1005"/>
      <c r="M365" s="1005"/>
    </row>
    <row r="366" spans="1:13">
      <c r="A366" s="1049" t="s">
        <v>783</v>
      </c>
      <c r="B366" s="1071">
        <v>3.5</v>
      </c>
      <c r="C366" s="1071">
        <v>2.8</v>
      </c>
      <c r="D366" s="1071">
        <f t="shared" ref="D366:D377" si="4">B366*C366</f>
        <v>9.7999999999999989</v>
      </c>
      <c r="E366" s="1095" t="s">
        <v>775</v>
      </c>
      <c r="F366" s="1071">
        <f>0.8*2.1</f>
        <v>1.6800000000000002</v>
      </c>
      <c r="G366" s="1096">
        <f t="shared" ref="G366:G377" si="5">D366-F366</f>
        <v>8.1199999999999992</v>
      </c>
      <c r="H366" s="1005"/>
      <c r="I366" s="1005"/>
      <c r="J366" s="1005"/>
      <c r="K366" s="1005"/>
      <c r="L366" s="1005"/>
      <c r="M366" s="1005"/>
    </row>
    <row r="367" spans="1:13" ht="36">
      <c r="A367" s="1049" t="s">
        <v>784</v>
      </c>
      <c r="B367" s="1071">
        <f>3.15+3.5</f>
        <v>6.65</v>
      </c>
      <c r="C367" s="1071">
        <v>2.8</v>
      </c>
      <c r="D367" s="1071">
        <f t="shared" si="4"/>
        <v>18.62</v>
      </c>
      <c r="E367" s="1095" t="s">
        <v>785</v>
      </c>
      <c r="F367" s="1071">
        <f>(0.8*2.1)+(1.1*0.6*2)</f>
        <v>3</v>
      </c>
      <c r="G367" s="1096">
        <f t="shared" si="5"/>
        <v>15.620000000000001</v>
      </c>
      <c r="H367" s="1005"/>
      <c r="I367" s="1005"/>
      <c r="J367" s="1005"/>
      <c r="K367" s="1005"/>
      <c r="L367" s="1005"/>
      <c r="M367" s="1005"/>
    </row>
    <row r="368" spans="1:13">
      <c r="A368" s="1049" t="s">
        <v>786</v>
      </c>
      <c r="B368" s="1071">
        <f>3.35+3.15</f>
        <v>6.5</v>
      </c>
      <c r="C368" s="1071">
        <v>2.8</v>
      </c>
      <c r="D368" s="1071">
        <f t="shared" si="4"/>
        <v>18.2</v>
      </c>
      <c r="E368" s="1071"/>
      <c r="F368" s="1071"/>
      <c r="G368" s="1096">
        <f t="shared" si="5"/>
        <v>18.2</v>
      </c>
      <c r="H368" s="1005"/>
      <c r="I368" s="1005"/>
      <c r="J368" s="1005"/>
      <c r="K368" s="1005"/>
      <c r="L368" s="1005"/>
      <c r="M368" s="1005"/>
    </row>
    <row r="369" spans="1:13" ht="24">
      <c r="A369" s="1049" t="s">
        <v>787</v>
      </c>
      <c r="B369" s="1071">
        <v>8</v>
      </c>
      <c r="C369" s="1071">
        <v>2.8</v>
      </c>
      <c r="D369" s="1071">
        <f t="shared" si="4"/>
        <v>22.4</v>
      </c>
      <c r="E369" s="1095" t="s">
        <v>788</v>
      </c>
      <c r="F369" s="1071">
        <f>(2.2*1.1)+(0.8*2.1)</f>
        <v>4.1000000000000005</v>
      </c>
      <c r="G369" s="1096">
        <f t="shared" si="5"/>
        <v>18.299999999999997</v>
      </c>
      <c r="H369" s="1005"/>
      <c r="I369" s="1005"/>
      <c r="J369" s="1005"/>
      <c r="K369" s="1005"/>
      <c r="L369" s="1005"/>
      <c r="M369" s="1005"/>
    </row>
    <row r="370" spans="1:13" ht="24">
      <c r="A370" s="1049" t="s">
        <v>787</v>
      </c>
      <c r="B370" s="1071">
        <v>8</v>
      </c>
      <c r="C370" s="1071">
        <v>2.8</v>
      </c>
      <c r="D370" s="1071">
        <f t="shared" si="4"/>
        <v>22.4</v>
      </c>
      <c r="E370" s="1071"/>
      <c r="F370" s="1071"/>
      <c r="G370" s="1096">
        <f t="shared" si="5"/>
        <v>22.4</v>
      </c>
      <c r="H370" s="1005"/>
      <c r="I370" s="1005"/>
      <c r="J370" s="1005"/>
      <c r="K370" s="1005"/>
      <c r="L370" s="1005"/>
      <c r="M370" s="1005"/>
    </row>
    <row r="371" spans="1:13">
      <c r="A371" s="1049" t="s">
        <v>789</v>
      </c>
      <c r="B371" s="1071">
        <v>3.5</v>
      </c>
      <c r="C371" s="1071">
        <v>2.8</v>
      </c>
      <c r="D371" s="1071">
        <f t="shared" si="4"/>
        <v>9.7999999999999989</v>
      </c>
      <c r="E371" s="1095" t="s">
        <v>790</v>
      </c>
      <c r="F371" s="1071">
        <f>2.2*1.1</f>
        <v>2.4200000000000004</v>
      </c>
      <c r="G371" s="1096">
        <f t="shared" si="5"/>
        <v>7.379999999999999</v>
      </c>
      <c r="H371" s="1005"/>
      <c r="I371" s="1005"/>
      <c r="J371" s="1005"/>
      <c r="K371" s="1005"/>
      <c r="L371" s="1005"/>
      <c r="M371" s="1005"/>
    </row>
    <row r="372" spans="1:13">
      <c r="A372" s="1049" t="s">
        <v>791</v>
      </c>
      <c r="B372" s="1071">
        <f>2.55+2</f>
        <v>4.55</v>
      </c>
      <c r="C372" s="1071">
        <v>2.8</v>
      </c>
      <c r="D372" s="1071">
        <f t="shared" si="4"/>
        <v>12.739999999999998</v>
      </c>
      <c r="E372" s="1071"/>
      <c r="F372" s="1071"/>
      <c r="G372" s="1096">
        <f t="shared" si="5"/>
        <v>12.739999999999998</v>
      </c>
      <c r="H372" s="1005"/>
      <c r="I372" s="1005"/>
      <c r="J372" s="1005"/>
      <c r="K372" s="1005"/>
      <c r="L372" s="1005"/>
      <c r="M372" s="1005"/>
    </row>
    <row r="373" spans="1:13" ht="24">
      <c r="A373" s="1154" t="s">
        <v>792</v>
      </c>
      <c r="B373" s="1155">
        <v>4</v>
      </c>
      <c r="C373" s="1132">
        <v>2.8</v>
      </c>
      <c r="D373" s="1132">
        <f t="shared" si="4"/>
        <v>11.2</v>
      </c>
      <c r="E373" s="1156" t="s">
        <v>793</v>
      </c>
      <c r="F373" s="1132">
        <f>(1.3*2.1)+(2.3*1.1)</f>
        <v>5.26</v>
      </c>
      <c r="G373" s="1157">
        <f t="shared" si="5"/>
        <v>5.9399999999999995</v>
      </c>
      <c r="H373" s="1005"/>
      <c r="I373" s="1005"/>
      <c r="J373" s="1005"/>
      <c r="K373" s="1005"/>
      <c r="L373" s="1005"/>
      <c r="M373" s="1005"/>
    </row>
    <row r="374" spans="1:13" ht="36">
      <c r="A374" s="1154" t="s">
        <v>794</v>
      </c>
      <c r="B374" s="1155">
        <f>2.15+1.35+1.5</f>
        <v>5</v>
      </c>
      <c r="C374" s="1132">
        <v>5.23</v>
      </c>
      <c r="D374" s="1132">
        <f t="shared" si="4"/>
        <v>26.150000000000002</v>
      </c>
      <c r="E374" s="1156" t="s">
        <v>795</v>
      </c>
      <c r="F374" s="1132">
        <f>1.2*1.1+(0.8*2.1)+(0.9*2.1)</f>
        <v>4.8900000000000006</v>
      </c>
      <c r="G374" s="1157">
        <f t="shared" si="5"/>
        <v>21.26</v>
      </c>
      <c r="H374" s="1005"/>
      <c r="I374" s="1005"/>
      <c r="J374" s="1005"/>
      <c r="K374" s="1005"/>
      <c r="L374" s="1005"/>
      <c r="M374" s="1005"/>
    </row>
    <row r="375" spans="1:13">
      <c r="A375" s="1154" t="s">
        <v>796</v>
      </c>
      <c r="B375" s="1155">
        <v>1.5</v>
      </c>
      <c r="C375" s="1132">
        <v>5.23</v>
      </c>
      <c r="D375" s="1132">
        <f t="shared" si="4"/>
        <v>7.8450000000000006</v>
      </c>
      <c r="E375" s="1132"/>
      <c r="F375" s="1132"/>
      <c r="G375" s="1157">
        <f t="shared" si="5"/>
        <v>7.8450000000000006</v>
      </c>
      <c r="H375" s="1005"/>
      <c r="I375" s="1005"/>
      <c r="J375" s="1005"/>
      <c r="K375" s="1005"/>
      <c r="L375" s="1005"/>
      <c r="M375" s="1005"/>
    </row>
    <row r="376" spans="1:13" ht="48">
      <c r="A376" s="1154" t="s">
        <v>797</v>
      </c>
      <c r="B376" s="1155">
        <f>4.6+9.6</f>
        <v>14.2</v>
      </c>
      <c r="C376" s="1132">
        <v>4.7300000000000004</v>
      </c>
      <c r="D376" s="1132">
        <f t="shared" si="4"/>
        <v>67.165999999999997</v>
      </c>
      <c r="E376" s="1156" t="s">
        <v>798</v>
      </c>
      <c r="F376" s="1132">
        <f>2.3*1.1*2+(0.8*2.1)+(1*2.1)</f>
        <v>8.84</v>
      </c>
      <c r="G376" s="1157">
        <f t="shared" si="5"/>
        <v>58.325999999999993</v>
      </c>
      <c r="H376" s="1005"/>
      <c r="I376" s="1005"/>
      <c r="J376" s="1005"/>
      <c r="K376" s="1005"/>
      <c r="L376" s="1005"/>
      <c r="M376" s="1005"/>
    </row>
    <row r="377" spans="1:13">
      <c r="A377" s="1154" t="s">
        <v>799</v>
      </c>
      <c r="B377" s="1155">
        <v>4.5999999999999996</v>
      </c>
      <c r="C377" s="1132">
        <v>1.93</v>
      </c>
      <c r="D377" s="1132">
        <f t="shared" si="4"/>
        <v>8.8779999999999983</v>
      </c>
      <c r="E377" s="1132"/>
      <c r="F377" s="1132"/>
      <c r="G377" s="1157">
        <f t="shared" si="5"/>
        <v>8.8779999999999983</v>
      </c>
      <c r="H377" s="1005"/>
      <c r="I377" s="1005"/>
      <c r="J377" s="1005"/>
      <c r="K377" s="1005"/>
      <c r="L377" s="1005"/>
      <c r="M377" s="1005"/>
    </row>
    <row r="378" spans="1:13">
      <c r="A378" s="2334"/>
      <c r="B378" s="2254"/>
      <c r="C378" s="2254"/>
      <c r="D378" s="2254"/>
      <c r="E378" s="2254"/>
      <c r="F378" s="2254"/>
      <c r="G378" s="2255"/>
      <c r="H378" s="1005"/>
      <c r="I378" s="1005"/>
      <c r="J378" s="1005"/>
      <c r="K378" s="1005"/>
      <c r="L378" s="1005"/>
      <c r="M378" s="1005"/>
    </row>
    <row r="379" spans="1:13">
      <c r="A379" s="2387" t="s">
        <v>800</v>
      </c>
      <c r="B379" s="2388"/>
      <c r="C379" s="2388"/>
      <c r="D379" s="2388"/>
      <c r="E379" s="2388"/>
      <c r="F379" s="2388"/>
      <c r="G379" s="2389"/>
      <c r="H379" s="1005"/>
      <c r="I379" s="1005"/>
      <c r="J379" s="1005"/>
      <c r="K379" s="1005"/>
      <c r="L379" s="1005"/>
      <c r="M379" s="1005"/>
    </row>
    <row r="380" spans="1:13" ht="36">
      <c r="A380" s="1049" t="s">
        <v>801</v>
      </c>
      <c r="B380" s="1100">
        <f>7.5+4.65</f>
        <v>12.15</v>
      </c>
      <c r="C380" s="1071">
        <v>2.8</v>
      </c>
      <c r="D380" s="1071">
        <f t="shared" ref="D380:D388" si="6">B380*C380</f>
        <v>34.019999999999996</v>
      </c>
      <c r="E380" s="1095" t="s">
        <v>802</v>
      </c>
      <c r="F380" s="1071">
        <f>(1.6*2.1)+(3*1.1*0.6)</f>
        <v>5.34</v>
      </c>
      <c r="G380" s="1096">
        <f t="shared" ref="G380:G388" si="7">D380-F380</f>
        <v>28.679999999999996</v>
      </c>
      <c r="H380" s="1005"/>
      <c r="I380" s="1005"/>
      <c r="J380" s="1005"/>
      <c r="K380" s="1005"/>
      <c r="L380" s="1005"/>
      <c r="M380" s="1005"/>
    </row>
    <row r="381" spans="1:13" ht="24">
      <c r="A381" s="1049" t="s">
        <v>801</v>
      </c>
      <c r="B381" s="1100">
        <f>7.5+4.65</f>
        <v>12.15</v>
      </c>
      <c r="C381" s="1071">
        <v>2.8</v>
      </c>
      <c r="D381" s="1071">
        <f t="shared" si="6"/>
        <v>34.019999999999996</v>
      </c>
      <c r="E381" s="1071"/>
      <c r="F381" s="1071"/>
      <c r="G381" s="1096">
        <f t="shared" si="7"/>
        <v>34.019999999999996</v>
      </c>
      <c r="H381" s="1005"/>
      <c r="I381" s="1005"/>
      <c r="J381" s="1005"/>
      <c r="K381" s="1005"/>
      <c r="L381" s="1005"/>
      <c r="M381" s="1005"/>
    </row>
    <row r="382" spans="1:13" ht="36">
      <c r="A382" s="1049" t="s">
        <v>803</v>
      </c>
      <c r="B382" s="1153">
        <f>8.85+10.35</f>
        <v>19.2</v>
      </c>
      <c r="C382" s="1071">
        <v>2.8</v>
      </c>
      <c r="D382" s="1071">
        <f t="shared" si="6"/>
        <v>53.76</v>
      </c>
      <c r="E382" s="1095" t="s">
        <v>804</v>
      </c>
      <c r="F382" s="1071">
        <f>2.3*1.1*5</f>
        <v>12.649999999999999</v>
      </c>
      <c r="G382" s="1096">
        <f t="shared" si="7"/>
        <v>41.11</v>
      </c>
      <c r="H382" s="1005"/>
      <c r="I382" s="1005"/>
      <c r="J382" s="1005"/>
      <c r="K382" s="1005"/>
      <c r="L382" s="1005"/>
      <c r="M382" s="1005"/>
    </row>
    <row r="383" spans="1:13" ht="24">
      <c r="A383" s="1049" t="s">
        <v>805</v>
      </c>
      <c r="B383" s="1153">
        <f>4.65+4</f>
        <v>8.65</v>
      </c>
      <c r="C383" s="1071">
        <v>2.8</v>
      </c>
      <c r="D383" s="1071">
        <f t="shared" si="6"/>
        <v>24.22</v>
      </c>
      <c r="E383" s="1071"/>
      <c r="F383" s="1071"/>
      <c r="G383" s="1096">
        <f t="shared" si="7"/>
        <v>24.22</v>
      </c>
      <c r="H383" s="1005"/>
      <c r="I383" s="1005"/>
      <c r="J383" s="1005"/>
      <c r="K383" s="1005"/>
      <c r="L383" s="1005"/>
      <c r="M383" s="1005"/>
    </row>
    <row r="384" spans="1:13">
      <c r="A384" s="1049" t="s">
        <v>806</v>
      </c>
      <c r="B384" s="1153">
        <v>5.5</v>
      </c>
      <c r="C384" s="1071">
        <v>2.8</v>
      </c>
      <c r="D384" s="1071">
        <f t="shared" si="6"/>
        <v>15.399999999999999</v>
      </c>
      <c r="E384" s="1095" t="s">
        <v>807</v>
      </c>
      <c r="F384" s="1071">
        <f>2.3*1.1</f>
        <v>2.5299999999999998</v>
      </c>
      <c r="G384" s="1096">
        <f t="shared" si="7"/>
        <v>12.87</v>
      </c>
      <c r="H384" s="1005"/>
      <c r="I384" s="2442"/>
      <c r="J384" s="2442"/>
      <c r="K384" s="1005"/>
      <c r="L384" s="1005"/>
      <c r="M384" s="1005"/>
    </row>
    <row r="385" spans="1:13">
      <c r="A385" s="1049" t="s">
        <v>808</v>
      </c>
      <c r="B385" s="1153">
        <v>4.5</v>
      </c>
      <c r="C385" s="1071">
        <v>2.8</v>
      </c>
      <c r="D385" s="1071">
        <f t="shared" si="6"/>
        <v>12.6</v>
      </c>
      <c r="E385" s="1071"/>
      <c r="F385" s="1071"/>
      <c r="G385" s="1096">
        <f t="shared" si="7"/>
        <v>12.6</v>
      </c>
      <c r="H385" s="1005"/>
      <c r="I385" s="2442"/>
      <c r="J385" s="2442"/>
      <c r="K385" s="1005"/>
      <c r="L385" s="1005"/>
      <c r="M385" s="1005"/>
    </row>
    <row r="386" spans="1:13">
      <c r="A386" s="1154" t="s">
        <v>809</v>
      </c>
      <c r="B386" s="1155">
        <v>5</v>
      </c>
      <c r="C386" s="1132">
        <v>2.8</v>
      </c>
      <c r="D386" s="1132">
        <f t="shared" si="6"/>
        <v>14</v>
      </c>
      <c r="E386" s="1132"/>
      <c r="F386" s="1132"/>
      <c r="G386" s="1157">
        <f t="shared" si="7"/>
        <v>14</v>
      </c>
      <c r="H386" s="1005"/>
      <c r="I386" s="1005"/>
      <c r="J386" s="1005"/>
      <c r="K386" s="1005"/>
      <c r="L386" s="1005"/>
      <c r="M386" s="1005"/>
    </row>
    <row r="387" spans="1:13">
      <c r="A387" s="1154" t="s">
        <v>810</v>
      </c>
      <c r="B387" s="1155">
        <v>9</v>
      </c>
      <c r="C387" s="1132">
        <v>2.8</v>
      </c>
      <c r="D387" s="1132">
        <f t="shared" si="6"/>
        <v>25.2</v>
      </c>
      <c r="E387" s="1132"/>
      <c r="F387" s="1132"/>
      <c r="G387" s="1157">
        <f t="shared" si="7"/>
        <v>25.2</v>
      </c>
      <c r="H387" s="1005"/>
      <c r="I387" s="1005"/>
      <c r="J387" s="1005"/>
      <c r="K387" s="1005"/>
      <c r="L387" s="1005"/>
      <c r="M387" s="1005"/>
    </row>
    <row r="388" spans="1:13" ht="48">
      <c r="A388" s="1154" t="s">
        <v>811</v>
      </c>
      <c r="B388" s="1155">
        <v>6.15</v>
      </c>
      <c r="C388" s="1132">
        <v>5.23</v>
      </c>
      <c r="D388" s="1132">
        <f t="shared" si="6"/>
        <v>32.164500000000004</v>
      </c>
      <c r="E388" s="1156" t="s">
        <v>812</v>
      </c>
      <c r="F388" s="1132">
        <f>(0.8*2.1*4)+(0.4*0.6*2)</f>
        <v>7.2000000000000011</v>
      </c>
      <c r="G388" s="1157">
        <f t="shared" si="7"/>
        <v>24.964500000000001</v>
      </c>
      <c r="H388" s="1005"/>
      <c r="I388" s="1005"/>
      <c r="J388" s="1005"/>
      <c r="K388" s="1005"/>
      <c r="L388" s="1005"/>
      <c r="M388" s="1005"/>
    </row>
    <row r="389" spans="1:13">
      <c r="A389" s="2334"/>
      <c r="B389" s="2254"/>
      <c r="C389" s="2254"/>
      <c r="D389" s="2254"/>
      <c r="E389" s="2254"/>
      <c r="F389" s="2254"/>
      <c r="G389" s="2255"/>
      <c r="H389" s="1005"/>
      <c r="I389" s="1005"/>
      <c r="J389" s="1005"/>
      <c r="K389" s="1005"/>
      <c r="L389" s="1005"/>
      <c r="M389" s="1005"/>
    </row>
    <row r="390" spans="1:13">
      <c r="A390" s="2271" t="s">
        <v>2153</v>
      </c>
      <c r="B390" s="2274"/>
      <c r="C390" s="2274"/>
      <c r="D390" s="2274"/>
      <c r="E390" s="2274"/>
      <c r="F390" s="2274"/>
      <c r="G390" s="2275"/>
      <c r="H390" s="1005"/>
      <c r="I390" s="1158"/>
      <c r="J390" s="1005"/>
      <c r="K390" s="1005"/>
      <c r="L390" s="1005"/>
      <c r="M390" s="1005"/>
    </row>
    <row r="391" spans="1:13">
      <c r="A391" s="2375"/>
      <c r="B391" s="2376"/>
      <c r="C391" s="2381" t="s">
        <v>772</v>
      </c>
      <c r="D391" s="2382"/>
      <c r="E391" s="2382"/>
      <c r="F391" s="2383"/>
      <c r="G391" s="1096"/>
      <c r="H391" s="1005"/>
      <c r="I391" s="1005"/>
      <c r="J391" s="1005"/>
      <c r="K391" s="1005"/>
      <c r="L391" s="1005"/>
      <c r="M391" s="1005"/>
    </row>
    <row r="392" spans="1:13">
      <c r="A392" s="2377"/>
      <c r="B392" s="2378"/>
      <c r="C392" s="2384" t="s">
        <v>324</v>
      </c>
      <c r="D392" s="2385"/>
      <c r="E392" s="2385"/>
      <c r="F392" s="2386"/>
      <c r="G392" s="1159">
        <f>ROUNDUP(G356+G357+G358+G359+G360+G361+G362+G363,2)</f>
        <v>48.43</v>
      </c>
      <c r="H392" s="1005"/>
      <c r="I392" s="1532"/>
      <c r="J392" s="1532"/>
      <c r="K392" s="1532"/>
      <c r="L392" s="1005"/>
      <c r="M392" s="1005"/>
    </row>
    <row r="393" spans="1:13">
      <c r="A393" s="2377"/>
      <c r="B393" s="2378"/>
      <c r="C393" s="2381" t="s">
        <v>782</v>
      </c>
      <c r="D393" s="2382"/>
      <c r="E393" s="2382"/>
      <c r="F393" s="2383"/>
      <c r="G393" s="1160"/>
      <c r="H393" s="1005"/>
      <c r="I393" s="1532"/>
      <c r="J393" s="1532"/>
      <c r="K393" s="1532"/>
      <c r="L393" s="1005"/>
      <c r="M393" s="1005"/>
    </row>
    <row r="394" spans="1:13">
      <c r="A394" s="2377"/>
      <c r="B394" s="2378"/>
      <c r="C394" s="2384" t="s">
        <v>324</v>
      </c>
      <c r="D394" s="2385"/>
      <c r="E394" s="2385"/>
      <c r="F394" s="2386"/>
      <c r="G394" s="1159">
        <f>ROUNDUP(G366+G367+G368+G369+G370+G371+G372+G373+G374+G375+G376+G377,2)</f>
        <v>205.01</v>
      </c>
      <c r="H394" s="1005"/>
      <c r="I394" s="1532"/>
      <c r="J394" s="1532"/>
      <c r="K394" s="1532"/>
      <c r="L394" s="1005"/>
      <c r="M394" s="1005"/>
    </row>
    <row r="395" spans="1:13">
      <c r="A395" s="2377"/>
      <c r="B395" s="2378"/>
      <c r="C395" s="2381" t="s">
        <v>800</v>
      </c>
      <c r="D395" s="2382"/>
      <c r="E395" s="2382"/>
      <c r="F395" s="2383"/>
      <c r="G395" s="1160"/>
      <c r="H395" s="1005"/>
      <c r="I395" s="1005"/>
      <c r="J395" s="1005"/>
      <c r="K395" s="1005"/>
      <c r="L395" s="1005"/>
      <c r="M395" s="1005"/>
    </row>
    <row r="396" spans="1:13">
      <c r="A396" s="2379"/>
      <c r="B396" s="2380"/>
      <c r="C396" s="2384" t="s">
        <v>324</v>
      </c>
      <c r="D396" s="2385"/>
      <c r="E396" s="2385"/>
      <c r="F396" s="2386"/>
      <c r="G396" s="1159">
        <f>ROUNDUP(G380+G381+G382+G384+G385+G386+G387+G388,2)</f>
        <v>193.45</v>
      </c>
      <c r="H396" s="1005"/>
      <c r="I396" s="1161"/>
      <c r="J396" s="1098"/>
      <c r="K396" s="1098"/>
      <c r="L396" s="1005"/>
      <c r="M396" s="1005"/>
    </row>
    <row r="397" spans="1:13" ht="15.75" thickBot="1">
      <c r="A397" s="2372" t="s">
        <v>357</v>
      </c>
      <c r="B397" s="2373"/>
      <c r="C397" s="2373"/>
      <c r="D397" s="2373"/>
      <c r="E397" s="2373"/>
      <c r="F397" s="2374"/>
      <c r="G397" s="1180">
        <f>ROUNDUP(G392+G394+G396,2)</f>
        <v>446.89</v>
      </c>
      <c r="H397" s="1005"/>
      <c r="I397" s="1098"/>
      <c r="J397" s="1005"/>
      <c r="K397" s="1005"/>
      <c r="L397" s="1005"/>
      <c r="M397" s="1005"/>
    </row>
    <row r="398" spans="1:13" ht="15.75" thickBot="1">
      <c r="A398" s="2331"/>
      <c r="B398" s="2332"/>
      <c r="C398" s="2332"/>
      <c r="D398" s="2332"/>
      <c r="E398" s="2332"/>
      <c r="F398" s="2332"/>
      <c r="G398" s="2333"/>
      <c r="H398" s="1005"/>
      <c r="I398" s="1005"/>
      <c r="J398" s="1005"/>
      <c r="K398" s="1005"/>
      <c r="L398" s="1005"/>
      <c r="M398" s="1005"/>
    </row>
    <row r="399" spans="1:13" ht="15.75" thickBot="1">
      <c r="A399" s="1162" t="s">
        <v>114</v>
      </c>
      <c r="B399" s="2262" t="s">
        <v>2148</v>
      </c>
      <c r="C399" s="2434"/>
      <c r="D399" s="2434"/>
      <c r="E399" s="2434"/>
      <c r="F399" s="2434"/>
      <c r="G399" s="2435"/>
      <c r="H399" s="1005"/>
      <c r="I399" s="1163"/>
      <c r="J399" s="1005"/>
      <c r="K399" s="1005"/>
      <c r="L399" s="1005"/>
      <c r="M399" s="1005"/>
    </row>
    <row r="400" spans="1:13">
      <c r="A400" s="2436" t="s">
        <v>320</v>
      </c>
      <c r="B400" s="2437"/>
      <c r="C400" s="2437"/>
      <c r="D400" s="2437"/>
      <c r="E400" s="2437"/>
      <c r="F400" s="2437"/>
      <c r="G400" s="2438"/>
      <c r="H400" s="1005"/>
      <c r="I400" s="1005"/>
      <c r="J400" s="1005"/>
      <c r="K400" s="1005"/>
      <c r="L400" s="1005"/>
      <c r="M400" s="1005"/>
    </row>
    <row r="401" spans="1:13">
      <c r="A401" s="2439" t="s">
        <v>402</v>
      </c>
      <c r="B401" s="2440"/>
      <c r="C401" s="2440"/>
      <c r="D401" s="2440"/>
      <c r="E401" s="2440"/>
      <c r="F401" s="2440"/>
      <c r="G401" s="2441"/>
      <c r="H401" s="1005"/>
      <c r="I401" s="1005"/>
      <c r="J401" s="1005"/>
      <c r="K401" s="1005"/>
      <c r="L401" s="1005"/>
      <c r="M401" s="1005"/>
    </row>
    <row r="402" spans="1:13">
      <c r="A402" s="1034" t="s">
        <v>339</v>
      </c>
      <c r="B402" s="1035" t="s">
        <v>339</v>
      </c>
      <c r="C402" s="1035" t="s">
        <v>349</v>
      </c>
      <c r="D402" s="1035" t="s">
        <v>350</v>
      </c>
      <c r="E402" s="1035" t="s">
        <v>351</v>
      </c>
      <c r="F402" s="1035" t="s">
        <v>352</v>
      </c>
      <c r="G402" s="1093" t="s">
        <v>353</v>
      </c>
      <c r="H402" s="1005"/>
      <c r="I402" s="1005"/>
      <c r="J402" s="1005"/>
      <c r="K402" s="1005"/>
      <c r="L402" s="1005"/>
      <c r="M402" s="1005"/>
    </row>
    <row r="403" spans="1:13">
      <c r="A403" s="2387" t="s">
        <v>772</v>
      </c>
      <c r="B403" s="2388"/>
      <c r="C403" s="2388"/>
      <c r="D403" s="2388"/>
      <c r="E403" s="2388"/>
      <c r="F403" s="2388"/>
      <c r="G403" s="2389"/>
      <c r="H403" s="1005"/>
      <c r="I403" s="1005"/>
      <c r="J403" s="1005"/>
      <c r="K403" s="1005"/>
      <c r="L403" s="1005"/>
      <c r="M403" s="1005"/>
    </row>
    <row r="404" spans="1:13">
      <c r="A404" s="1164" t="s">
        <v>773</v>
      </c>
      <c r="B404" s="1165">
        <v>1.5</v>
      </c>
      <c r="C404" s="1165">
        <v>2.8</v>
      </c>
      <c r="D404" s="1165">
        <f t="shared" ref="D404:D411" si="8">B404*C404</f>
        <v>4.1999999999999993</v>
      </c>
      <c r="E404" s="1165"/>
      <c r="F404" s="1165"/>
      <c r="G404" s="1166">
        <f t="shared" ref="G404:G411" si="9">D404-F404</f>
        <v>4.1999999999999993</v>
      </c>
      <c r="H404" s="1005"/>
      <c r="I404" s="1005"/>
      <c r="J404" s="1005"/>
      <c r="K404" s="1005"/>
      <c r="L404" s="1005"/>
      <c r="M404" s="1005"/>
    </row>
    <row r="405" spans="1:13">
      <c r="A405" s="1164" t="s">
        <v>774</v>
      </c>
      <c r="B405" s="1167">
        <v>1.95</v>
      </c>
      <c r="C405" s="1165">
        <v>2.8</v>
      </c>
      <c r="D405" s="1165">
        <f t="shared" si="8"/>
        <v>5.46</v>
      </c>
      <c r="E405" s="1168" t="s">
        <v>775</v>
      </c>
      <c r="F405" s="1165">
        <f>0.8*2.1</f>
        <v>1.6800000000000002</v>
      </c>
      <c r="G405" s="1166">
        <f t="shared" si="9"/>
        <v>3.78</v>
      </c>
      <c r="H405" s="1005"/>
      <c r="I405" s="1005"/>
      <c r="J405" s="1005"/>
      <c r="K405" s="1005"/>
      <c r="L405" s="1005"/>
      <c r="M405" s="1005"/>
    </row>
    <row r="406" spans="1:13" ht="36">
      <c r="A406" s="1164" t="s">
        <v>776</v>
      </c>
      <c r="B406" s="1165">
        <f>1.05+2.85+3.85+1.85+1.08+2</f>
        <v>12.68</v>
      </c>
      <c r="C406" s="1165">
        <v>0.7</v>
      </c>
      <c r="D406" s="1165">
        <f t="shared" si="8"/>
        <v>8.8759999999999994</v>
      </c>
      <c r="E406" s="1165"/>
      <c r="F406" s="1165"/>
      <c r="G406" s="1166">
        <f t="shared" si="9"/>
        <v>8.8759999999999994</v>
      </c>
      <c r="H406" s="1005"/>
      <c r="I406" s="1020"/>
      <c r="J406" s="1005"/>
      <c r="K406" s="1005"/>
      <c r="L406" s="1005"/>
      <c r="M406" s="1005"/>
    </row>
    <row r="407" spans="1:13" ht="36">
      <c r="A407" s="1164" t="s">
        <v>777</v>
      </c>
      <c r="B407" s="1165">
        <f>1.05+2.85+3.85+1.85+1.08+2</f>
        <v>12.68</v>
      </c>
      <c r="C407" s="1165">
        <v>0.7</v>
      </c>
      <c r="D407" s="1165">
        <f t="shared" si="8"/>
        <v>8.8759999999999994</v>
      </c>
      <c r="E407" s="1165"/>
      <c r="F407" s="1165"/>
      <c r="G407" s="1166">
        <f t="shared" si="9"/>
        <v>8.8759999999999994</v>
      </c>
      <c r="H407" s="1005"/>
      <c r="I407" s="1005"/>
      <c r="J407" s="1005"/>
      <c r="K407" s="1005"/>
      <c r="L407" s="1005"/>
      <c r="M407" s="1005"/>
    </row>
    <row r="408" spans="1:13" ht="24">
      <c r="A408" s="1164" t="s">
        <v>778</v>
      </c>
      <c r="B408" s="1165">
        <f>1.85+1.65+1.85+1.65</f>
        <v>7</v>
      </c>
      <c r="C408" s="1165">
        <v>0.7</v>
      </c>
      <c r="D408" s="1165">
        <f t="shared" si="8"/>
        <v>4.8999999999999995</v>
      </c>
      <c r="E408" s="1168" t="s">
        <v>814</v>
      </c>
      <c r="F408" s="1165">
        <f>0.4*0.6</f>
        <v>0.24</v>
      </c>
      <c r="G408" s="1166">
        <f t="shared" si="9"/>
        <v>4.6599999999999993</v>
      </c>
      <c r="H408" s="1005"/>
      <c r="I408" s="1005"/>
      <c r="J408" s="1005"/>
      <c r="K408" s="1005"/>
      <c r="L408" s="1005"/>
      <c r="M408" s="1005"/>
    </row>
    <row r="409" spans="1:13" ht="24">
      <c r="A409" s="1164" t="s">
        <v>779</v>
      </c>
      <c r="B409" s="1165">
        <f>1.85+1.65+1.85+1.65</f>
        <v>7</v>
      </c>
      <c r="C409" s="1165">
        <v>0.7</v>
      </c>
      <c r="D409" s="1165">
        <f t="shared" si="8"/>
        <v>4.8999999999999995</v>
      </c>
      <c r="E409" s="1168" t="s">
        <v>814</v>
      </c>
      <c r="F409" s="1165">
        <f>0.4*0.6</f>
        <v>0.24</v>
      </c>
      <c r="G409" s="1166">
        <f t="shared" si="9"/>
        <v>4.6599999999999993</v>
      </c>
      <c r="H409" s="1005"/>
      <c r="I409" s="1005"/>
      <c r="J409" s="1005"/>
      <c r="K409" s="1005"/>
      <c r="L409" s="1005"/>
      <c r="M409" s="1005"/>
    </row>
    <row r="410" spans="1:13" ht="24">
      <c r="A410" s="1164" t="s">
        <v>780</v>
      </c>
      <c r="B410" s="1165">
        <f>1.35+1.35+2.35+2.35</f>
        <v>7.4</v>
      </c>
      <c r="C410" s="1165">
        <v>0.7</v>
      </c>
      <c r="D410" s="1165">
        <f t="shared" si="8"/>
        <v>5.18</v>
      </c>
      <c r="E410" s="1165"/>
      <c r="F410" s="1165"/>
      <c r="G410" s="1166">
        <f t="shared" si="9"/>
        <v>5.18</v>
      </c>
      <c r="H410" s="1005"/>
      <c r="I410" s="1005"/>
      <c r="J410" s="1005"/>
      <c r="K410" s="1005"/>
      <c r="L410" s="1005"/>
      <c r="M410" s="1005"/>
    </row>
    <row r="411" spans="1:13" ht="24">
      <c r="A411" s="1164" t="s">
        <v>781</v>
      </c>
      <c r="B411" s="1165">
        <f>3.85+3.85+2+2</f>
        <v>11.7</v>
      </c>
      <c r="C411" s="1165">
        <v>0.7</v>
      </c>
      <c r="D411" s="1165">
        <f t="shared" si="8"/>
        <v>8.19</v>
      </c>
      <c r="E411" s="1165"/>
      <c r="F411" s="1165"/>
      <c r="G411" s="1166">
        <f t="shared" si="9"/>
        <v>8.19</v>
      </c>
      <c r="H411" s="1005"/>
      <c r="I411" s="1005"/>
      <c r="J411" s="1005"/>
      <c r="K411" s="1005"/>
      <c r="L411" s="1005"/>
      <c r="M411" s="1005"/>
    </row>
    <row r="412" spans="1:13">
      <c r="A412" s="2431"/>
      <c r="B412" s="2432"/>
      <c r="C412" s="2432"/>
      <c r="D412" s="2432"/>
      <c r="E412" s="2432"/>
      <c r="F412" s="2432"/>
      <c r="G412" s="2433"/>
      <c r="H412" s="1005"/>
      <c r="I412" s="1005"/>
      <c r="J412" s="1005"/>
      <c r="K412" s="1005"/>
      <c r="L412" s="1005"/>
      <c r="M412" s="1005"/>
    </row>
    <row r="413" spans="1:13">
      <c r="A413" s="2387" t="s">
        <v>782</v>
      </c>
      <c r="B413" s="2388"/>
      <c r="C413" s="2388"/>
      <c r="D413" s="2388"/>
      <c r="E413" s="2388"/>
      <c r="F413" s="2388"/>
      <c r="G413" s="2389"/>
      <c r="H413" s="1005"/>
      <c r="I413" s="1005"/>
      <c r="J413" s="1005"/>
      <c r="K413" s="1005"/>
      <c r="L413" s="1005"/>
      <c r="M413" s="1005"/>
    </row>
    <row r="414" spans="1:13">
      <c r="A414" s="1164" t="s">
        <v>783</v>
      </c>
      <c r="B414" s="1165">
        <v>3.5</v>
      </c>
      <c r="C414" s="1165">
        <v>2.8</v>
      </c>
      <c r="D414" s="1165">
        <f t="shared" ref="D414:D425" si="10">B414*C414</f>
        <v>9.7999999999999989</v>
      </c>
      <c r="E414" s="1168" t="s">
        <v>775</v>
      </c>
      <c r="F414" s="1165">
        <f>0.8*2.1</f>
        <v>1.6800000000000002</v>
      </c>
      <c r="G414" s="1166">
        <f t="shared" ref="G414:G425" si="11">D414-F414</f>
        <v>8.1199999999999992</v>
      </c>
      <c r="H414" s="1005"/>
      <c r="I414" s="1005"/>
      <c r="J414" s="1005"/>
      <c r="K414" s="1005"/>
      <c r="L414" s="1005"/>
      <c r="M414" s="1005"/>
    </row>
    <row r="415" spans="1:13" ht="36">
      <c r="A415" s="1164" t="s">
        <v>784</v>
      </c>
      <c r="B415" s="1165">
        <f>3.15+3.5</f>
        <v>6.65</v>
      </c>
      <c r="C415" s="1165">
        <v>2.8</v>
      </c>
      <c r="D415" s="1165">
        <f t="shared" si="10"/>
        <v>18.62</v>
      </c>
      <c r="E415" s="1168" t="s">
        <v>785</v>
      </c>
      <c r="F415" s="1165">
        <f>(0.8*2.1)+(1.1*0.6*2)</f>
        <v>3</v>
      </c>
      <c r="G415" s="1166">
        <f t="shared" si="11"/>
        <v>15.620000000000001</v>
      </c>
      <c r="H415" s="1005"/>
      <c r="I415" s="1005"/>
      <c r="J415" s="1005"/>
      <c r="K415" s="1005"/>
      <c r="L415" s="1005"/>
      <c r="M415" s="1005"/>
    </row>
    <row r="416" spans="1:13">
      <c r="A416" s="1164" t="s">
        <v>786</v>
      </c>
      <c r="B416" s="1165">
        <f>3.35+3.15</f>
        <v>6.5</v>
      </c>
      <c r="C416" s="1165">
        <v>2.8</v>
      </c>
      <c r="D416" s="1165">
        <f t="shared" si="10"/>
        <v>18.2</v>
      </c>
      <c r="E416" s="1165"/>
      <c r="F416" s="1165"/>
      <c r="G416" s="1166">
        <f t="shared" si="11"/>
        <v>18.2</v>
      </c>
      <c r="H416" s="1005"/>
      <c r="I416" s="1005"/>
      <c r="J416" s="1005"/>
      <c r="K416" s="1005"/>
      <c r="L416" s="1005"/>
      <c r="M416" s="1005"/>
    </row>
    <row r="417" spans="1:13" ht="24">
      <c r="A417" s="1164" t="s">
        <v>787</v>
      </c>
      <c r="B417" s="1165">
        <v>8</v>
      </c>
      <c r="C417" s="1165">
        <v>2.8</v>
      </c>
      <c r="D417" s="1165">
        <f t="shared" si="10"/>
        <v>22.4</v>
      </c>
      <c r="E417" s="1168" t="s">
        <v>788</v>
      </c>
      <c r="F417" s="1165">
        <f>(2.2*1.1)+(0.8*2.1)</f>
        <v>4.1000000000000005</v>
      </c>
      <c r="G417" s="1166">
        <f t="shared" si="11"/>
        <v>18.299999999999997</v>
      </c>
      <c r="H417" s="1005"/>
      <c r="I417" s="1005"/>
      <c r="J417" s="1005"/>
      <c r="K417" s="1005"/>
      <c r="L417" s="1005"/>
      <c r="M417" s="1005"/>
    </row>
    <row r="418" spans="1:13" ht="24">
      <c r="A418" s="1164" t="s">
        <v>787</v>
      </c>
      <c r="B418" s="1165">
        <v>8</v>
      </c>
      <c r="C418" s="1165">
        <v>2.8</v>
      </c>
      <c r="D418" s="1165">
        <f t="shared" si="10"/>
        <v>22.4</v>
      </c>
      <c r="E418" s="1165"/>
      <c r="F418" s="1165"/>
      <c r="G418" s="1166">
        <f t="shared" si="11"/>
        <v>22.4</v>
      </c>
      <c r="H418" s="1005"/>
      <c r="I418" s="1005"/>
      <c r="J418" s="1005"/>
      <c r="K418" s="1005"/>
      <c r="L418" s="1005"/>
      <c r="M418" s="1005"/>
    </row>
    <row r="419" spans="1:13">
      <c r="A419" s="1164" t="s">
        <v>789</v>
      </c>
      <c r="B419" s="1165">
        <v>3.5</v>
      </c>
      <c r="C419" s="1165">
        <v>2.8</v>
      </c>
      <c r="D419" s="1165">
        <f t="shared" si="10"/>
        <v>9.7999999999999989</v>
      </c>
      <c r="E419" s="1168" t="s">
        <v>790</v>
      </c>
      <c r="F419" s="1165">
        <f>2.2*1.1</f>
        <v>2.4200000000000004</v>
      </c>
      <c r="G419" s="1166">
        <f t="shared" si="11"/>
        <v>7.379999999999999</v>
      </c>
      <c r="H419" s="1005"/>
      <c r="I419" s="1005"/>
      <c r="J419" s="1005"/>
      <c r="K419" s="1005"/>
      <c r="L419" s="1005"/>
      <c r="M419" s="1005"/>
    </row>
    <row r="420" spans="1:13">
      <c r="A420" s="1164" t="s">
        <v>791</v>
      </c>
      <c r="B420" s="1165">
        <f>2.55+2</f>
        <v>4.55</v>
      </c>
      <c r="C420" s="1165">
        <v>2.8</v>
      </c>
      <c r="D420" s="1165">
        <f t="shared" si="10"/>
        <v>12.739999999999998</v>
      </c>
      <c r="E420" s="1165"/>
      <c r="F420" s="1165"/>
      <c r="G420" s="1166">
        <f t="shared" si="11"/>
        <v>12.739999999999998</v>
      </c>
      <c r="H420" s="1005"/>
      <c r="I420" s="1005"/>
      <c r="J420" s="1005"/>
      <c r="K420" s="1005"/>
      <c r="L420" s="1005"/>
      <c r="M420" s="1005"/>
    </row>
    <row r="421" spans="1:13" ht="24">
      <c r="A421" s="1169" t="s">
        <v>792</v>
      </c>
      <c r="B421" s="1170">
        <v>4</v>
      </c>
      <c r="C421" s="1171">
        <v>2.8</v>
      </c>
      <c r="D421" s="1171">
        <f t="shared" si="10"/>
        <v>11.2</v>
      </c>
      <c r="E421" s="1172" t="s">
        <v>793</v>
      </c>
      <c r="F421" s="1171">
        <f>(1.3*2.1)+(2.3*1.1)</f>
        <v>5.26</v>
      </c>
      <c r="G421" s="1173">
        <f t="shared" si="11"/>
        <v>5.9399999999999995</v>
      </c>
      <c r="H421" s="1005"/>
      <c r="I421" s="1005"/>
      <c r="J421" s="1005"/>
      <c r="K421" s="1005"/>
      <c r="L421" s="1005"/>
      <c r="M421" s="1005"/>
    </row>
    <row r="422" spans="1:13" ht="36">
      <c r="A422" s="1169" t="s">
        <v>794</v>
      </c>
      <c r="B422" s="1170">
        <f>2.15+1.35+1.5</f>
        <v>5</v>
      </c>
      <c r="C422" s="1171">
        <v>5.23</v>
      </c>
      <c r="D422" s="1171">
        <f t="shared" si="10"/>
        <v>26.150000000000002</v>
      </c>
      <c r="E422" s="1172" t="s">
        <v>795</v>
      </c>
      <c r="F422" s="1171">
        <f>1.2*1.1+(0.8*2.1)+(0.9*2.1)</f>
        <v>4.8900000000000006</v>
      </c>
      <c r="G422" s="1173">
        <f t="shared" si="11"/>
        <v>21.26</v>
      </c>
      <c r="H422" s="1005"/>
      <c r="I422" s="1005"/>
      <c r="J422" s="1005"/>
      <c r="K422" s="1005"/>
      <c r="L422" s="1005"/>
      <c r="M422" s="1005"/>
    </row>
    <row r="423" spans="1:13">
      <c r="A423" s="1169" t="s">
        <v>796</v>
      </c>
      <c r="B423" s="1170">
        <v>1.5</v>
      </c>
      <c r="C423" s="1171">
        <v>5.23</v>
      </c>
      <c r="D423" s="1171">
        <f t="shared" si="10"/>
        <v>7.8450000000000006</v>
      </c>
      <c r="E423" s="1171"/>
      <c r="F423" s="1171"/>
      <c r="G423" s="1173">
        <f t="shared" si="11"/>
        <v>7.8450000000000006</v>
      </c>
      <c r="H423" s="1005"/>
      <c r="I423" s="1005"/>
      <c r="J423" s="1005"/>
      <c r="K423" s="1005"/>
      <c r="L423" s="1005"/>
      <c r="M423" s="1005"/>
    </row>
    <row r="424" spans="1:13" ht="48">
      <c r="A424" s="1169" t="s">
        <v>797</v>
      </c>
      <c r="B424" s="1170">
        <f>4.6+9.6</f>
        <v>14.2</v>
      </c>
      <c r="C424" s="1171">
        <v>4.7300000000000004</v>
      </c>
      <c r="D424" s="1171">
        <f t="shared" si="10"/>
        <v>67.165999999999997</v>
      </c>
      <c r="E424" s="1172" t="s">
        <v>798</v>
      </c>
      <c r="F424" s="1171">
        <f>2.3*1.1*2+(0.8*2.1)+(1*2.1)</f>
        <v>8.84</v>
      </c>
      <c r="G424" s="1173">
        <f t="shared" si="11"/>
        <v>58.325999999999993</v>
      </c>
      <c r="H424" s="1005"/>
      <c r="I424" s="1005"/>
      <c r="J424" s="1005"/>
      <c r="K424" s="1005"/>
      <c r="L424" s="1005"/>
      <c r="M424" s="1005"/>
    </row>
    <row r="425" spans="1:13">
      <c r="A425" s="1169" t="s">
        <v>799</v>
      </c>
      <c r="B425" s="1170">
        <v>4.5999999999999996</v>
      </c>
      <c r="C425" s="1171">
        <v>1.93</v>
      </c>
      <c r="D425" s="1171">
        <f t="shared" si="10"/>
        <v>8.8779999999999983</v>
      </c>
      <c r="E425" s="1171"/>
      <c r="F425" s="1171"/>
      <c r="G425" s="1173">
        <f t="shared" si="11"/>
        <v>8.8779999999999983</v>
      </c>
      <c r="H425" s="1005"/>
      <c r="I425" s="1005"/>
      <c r="J425" s="1005"/>
      <c r="K425" s="1005"/>
      <c r="L425" s="1005"/>
      <c r="M425" s="1005"/>
    </row>
    <row r="426" spans="1:13">
      <c r="A426" s="2431"/>
      <c r="B426" s="2432"/>
      <c r="C426" s="2432"/>
      <c r="D426" s="2432"/>
      <c r="E426" s="2432"/>
      <c r="F426" s="2432"/>
      <c r="G426" s="2433"/>
      <c r="H426" s="1005"/>
      <c r="I426" s="1005"/>
      <c r="J426" s="1005"/>
      <c r="K426" s="1005"/>
      <c r="L426" s="1005"/>
      <c r="M426" s="1005"/>
    </row>
    <row r="427" spans="1:13">
      <c r="A427" s="2387" t="s">
        <v>800</v>
      </c>
      <c r="B427" s="2388"/>
      <c r="C427" s="2388"/>
      <c r="D427" s="2388"/>
      <c r="E427" s="2388"/>
      <c r="F427" s="2388"/>
      <c r="G427" s="2389"/>
      <c r="H427" s="1005"/>
      <c r="I427" s="1005"/>
      <c r="J427" s="1005"/>
      <c r="K427" s="1005"/>
      <c r="L427" s="1005"/>
      <c r="M427" s="1005"/>
    </row>
    <row r="428" spans="1:13" ht="36">
      <c r="A428" s="1164" t="s">
        <v>801</v>
      </c>
      <c r="B428" s="1174">
        <f>7.5+4.65</f>
        <v>12.15</v>
      </c>
      <c r="C428" s="1165">
        <v>2.8</v>
      </c>
      <c r="D428" s="1165">
        <f t="shared" ref="D428:D436" si="12">B428*C428</f>
        <v>34.019999999999996</v>
      </c>
      <c r="E428" s="1168" t="s">
        <v>802</v>
      </c>
      <c r="F428" s="1165">
        <f>(1.6*2.1)+(3*1.1*0.6)</f>
        <v>5.34</v>
      </c>
      <c r="G428" s="1166">
        <f t="shared" ref="G428:G436" si="13">D428-F428</f>
        <v>28.679999999999996</v>
      </c>
      <c r="H428" s="1005"/>
      <c r="I428" s="1005"/>
      <c r="J428" s="1005"/>
      <c r="K428" s="1005"/>
      <c r="L428" s="1005"/>
      <c r="M428" s="1005"/>
    </row>
    <row r="429" spans="1:13" ht="24">
      <c r="A429" s="1164" t="s">
        <v>801</v>
      </c>
      <c r="B429" s="1174">
        <f>7.5+4.65</f>
        <v>12.15</v>
      </c>
      <c r="C429" s="1165">
        <v>2.8</v>
      </c>
      <c r="D429" s="1165">
        <f t="shared" si="12"/>
        <v>34.019999999999996</v>
      </c>
      <c r="E429" s="1165"/>
      <c r="F429" s="1165"/>
      <c r="G429" s="1166">
        <f t="shared" si="13"/>
        <v>34.019999999999996</v>
      </c>
      <c r="H429" s="1005"/>
      <c r="I429" s="1005"/>
      <c r="J429" s="1005"/>
      <c r="K429" s="1005"/>
      <c r="L429" s="1005"/>
      <c r="M429" s="1005"/>
    </row>
    <row r="430" spans="1:13" ht="36">
      <c r="A430" s="1164" t="s">
        <v>803</v>
      </c>
      <c r="B430" s="1167">
        <f>8.85+10.35</f>
        <v>19.2</v>
      </c>
      <c r="C430" s="1165">
        <v>2.8</v>
      </c>
      <c r="D430" s="1165">
        <f t="shared" si="12"/>
        <v>53.76</v>
      </c>
      <c r="E430" s="1168" t="s">
        <v>804</v>
      </c>
      <c r="F430" s="1165">
        <f>2.3*1.1*5</f>
        <v>12.649999999999999</v>
      </c>
      <c r="G430" s="1166">
        <f t="shared" si="13"/>
        <v>41.11</v>
      </c>
      <c r="H430" s="1005"/>
      <c r="I430" s="1005"/>
      <c r="J430" s="1005"/>
      <c r="K430" s="1005"/>
      <c r="L430" s="1005"/>
      <c r="M430" s="1005"/>
    </row>
    <row r="431" spans="1:13" ht="24">
      <c r="A431" s="1164" t="s">
        <v>805</v>
      </c>
      <c r="B431" s="1167">
        <f>4.65+4</f>
        <v>8.65</v>
      </c>
      <c r="C431" s="1165">
        <v>2.8</v>
      </c>
      <c r="D431" s="1165">
        <f t="shared" si="12"/>
        <v>24.22</v>
      </c>
      <c r="E431" s="1165"/>
      <c r="F431" s="1165"/>
      <c r="G431" s="1166">
        <f t="shared" si="13"/>
        <v>24.22</v>
      </c>
      <c r="H431" s="1005"/>
      <c r="I431" s="1005"/>
      <c r="J431" s="1005"/>
      <c r="K431" s="1005"/>
      <c r="L431" s="1005"/>
      <c r="M431" s="1005"/>
    </row>
    <row r="432" spans="1:13">
      <c r="A432" s="1164" t="s">
        <v>806</v>
      </c>
      <c r="B432" s="1167">
        <v>5.5</v>
      </c>
      <c r="C432" s="1165">
        <v>2.8</v>
      </c>
      <c r="D432" s="1165">
        <f t="shared" si="12"/>
        <v>15.399999999999999</v>
      </c>
      <c r="E432" s="1168" t="s">
        <v>807</v>
      </c>
      <c r="F432" s="1165">
        <f>2.3*1.1</f>
        <v>2.5299999999999998</v>
      </c>
      <c r="G432" s="1166">
        <f t="shared" si="13"/>
        <v>12.87</v>
      </c>
      <c r="H432" s="1005"/>
      <c r="I432" s="1005"/>
      <c r="J432" s="1005"/>
      <c r="K432" s="1005"/>
      <c r="L432" s="1005"/>
      <c r="M432" s="1005"/>
    </row>
    <row r="433" spans="1:13">
      <c r="A433" s="1164" t="s">
        <v>808</v>
      </c>
      <c r="B433" s="1167">
        <v>4.5</v>
      </c>
      <c r="C433" s="1165">
        <v>2.8</v>
      </c>
      <c r="D433" s="1165">
        <f t="shared" si="12"/>
        <v>12.6</v>
      </c>
      <c r="E433" s="1165"/>
      <c r="F433" s="1165"/>
      <c r="G433" s="1166">
        <f t="shared" si="13"/>
        <v>12.6</v>
      </c>
      <c r="H433" s="1005"/>
      <c r="I433" s="1005"/>
      <c r="J433" s="1005"/>
      <c r="K433" s="1005"/>
      <c r="L433" s="1005"/>
      <c r="M433" s="1005"/>
    </row>
    <row r="434" spans="1:13">
      <c r="A434" s="1169" t="s">
        <v>809</v>
      </c>
      <c r="B434" s="1170">
        <v>5</v>
      </c>
      <c r="C434" s="1171">
        <v>2.8</v>
      </c>
      <c r="D434" s="1171">
        <f t="shared" si="12"/>
        <v>14</v>
      </c>
      <c r="E434" s="1171"/>
      <c r="F434" s="1171"/>
      <c r="G434" s="1173">
        <f t="shared" si="13"/>
        <v>14</v>
      </c>
      <c r="H434" s="1005"/>
      <c r="I434" s="1005"/>
      <c r="J434" s="1005"/>
      <c r="K434" s="1005"/>
      <c r="L434" s="1005"/>
      <c r="M434" s="1005"/>
    </row>
    <row r="435" spans="1:13">
      <c r="A435" s="1169" t="s">
        <v>810</v>
      </c>
      <c r="B435" s="1170">
        <v>9</v>
      </c>
      <c r="C435" s="1171">
        <v>2.8</v>
      </c>
      <c r="D435" s="1171">
        <f t="shared" si="12"/>
        <v>25.2</v>
      </c>
      <c r="E435" s="1171"/>
      <c r="F435" s="1171"/>
      <c r="G435" s="1173">
        <f t="shared" si="13"/>
        <v>25.2</v>
      </c>
      <c r="H435" s="1005"/>
      <c r="I435" s="1005"/>
      <c r="J435" s="1005"/>
      <c r="K435" s="1005"/>
      <c r="L435" s="1005"/>
      <c r="M435" s="1005"/>
    </row>
    <row r="436" spans="1:13" ht="48">
      <c r="A436" s="1169" t="s">
        <v>811</v>
      </c>
      <c r="B436" s="1170">
        <v>6.15</v>
      </c>
      <c r="C436" s="1171">
        <v>5.23</v>
      </c>
      <c r="D436" s="1171">
        <f t="shared" si="12"/>
        <v>32.164500000000004</v>
      </c>
      <c r="E436" s="1172" t="s">
        <v>812</v>
      </c>
      <c r="F436" s="1171">
        <f>(0.8*2.1*4)+(0.4*0.6*2)</f>
        <v>7.2000000000000011</v>
      </c>
      <c r="G436" s="1173">
        <f t="shared" si="13"/>
        <v>24.964500000000001</v>
      </c>
      <c r="H436" s="1005"/>
      <c r="I436" s="1005"/>
      <c r="J436" s="1005"/>
      <c r="K436" s="1005"/>
      <c r="L436" s="1005"/>
      <c r="M436" s="1005"/>
    </row>
    <row r="437" spans="1:13">
      <c r="A437" s="2431"/>
      <c r="B437" s="2432"/>
      <c r="C437" s="2432"/>
      <c r="D437" s="2432"/>
      <c r="E437" s="2432"/>
      <c r="F437" s="2432"/>
      <c r="G437" s="2433"/>
      <c r="H437" s="1005"/>
      <c r="I437" s="1005"/>
      <c r="J437" s="1005"/>
      <c r="K437" s="1005"/>
      <c r="L437" s="1005"/>
      <c r="M437" s="1005"/>
    </row>
    <row r="438" spans="1:13">
      <c r="A438" s="2271" t="s">
        <v>2149</v>
      </c>
      <c r="B438" s="2274"/>
      <c r="C438" s="2274"/>
      <c r="D438" s="2274"/>
      <c r="E438" s="2274"/>
      <c r="F438" s="2274"/>
      <c r="G438" s="2275"/>
      <c r="H438" s="1005"/>
      <c r="I438" s="1175"/>
      <c r="J438" s="1005"/>
      <c r="K438" s="1005"/>
      <c r="L438" s="1005"/>
      <c r="M438" s="1005"/>
    </row>
    <row r="439" spans="1:13">
      <c r="A439" s="2422"/>
      <c r="B439" s="2423"/>
      <c r="C439" s="2428" t="s">
        <v>772</v>
      </c>
      <c r="D439" s="2429"/>
      <c r="E439" s="2429"/>
      <c r="F439" s="2430"/>
      <c r="G439" s="1166"/>
      <c r="H439" s="1005"/>
      <c r="I439" s="1005"/>
      <c r="J439" s="1005"/>
      <c r="K439" s="1005"/>
      <c r="L439" s="1005"/>
      <c r="M439" s="1005"/>
    </row>
    <row r="440" spans="1:13">
      <c r="A440" s="2424"/>
      <c r="B440" s="2425"/>
      <c r="C440" s="2384" t="s">
        <v>324</v>
      </c>
      <c r="D440" s="2385"/>
      <c r="E440" s="2385"/>
      <c r="F440" s="2386"/>
      <c r="G440" s="1159">
        <f>ROUNDUP(G404+G405+G406+G407+G408+G409+G410+G411,2)</f>
        <v>48.43</v>
      </c>
      <c r="H440" s="1005"/>
      <c r="I440" s="1005"/>
      <c r="J440" s="1005"/>
      <c r="K440" s="1005"/>
      <c r="L440" s="1005"/>
      <c r="M440" s="1005"/>
    </row>
    <row r="441" spans="1:13">
      <c r="A441" s="2424"/>
      <c r="B441" s="2425"/>
      <c r="C441" s="2428" t="s">
        <v>782</v>
      </c>
      <c r="D441" s="2429"/>
      <c r="E441" s="2429"/>
      <c r="F441" s="2430"/>
      <c r="G441" s="1176"/>
      <c r="H441" s="1005"/>
      <c r="I441" s="1005"/>
      <c r="J441" s="1005"/>
      <c r="K441" s="1005"/>
      <c r="L441" s="1005"/>
      <c r="M441" s="1005"/>
    </row>
    <row r="442" spans="1:13">
      <c r="A442" s="2424"/>
      <c r="B442" s="2425"/>
      <c r="C442" s="2384" t="s">
        <v>324</v>
      </c>
      <c r="D442" s="2385"/>
      <c r="E442" s="2385"/>
      <c r="F442" s="2386"/>
      <c r="G442" s="1159">
        <f>ROUNDUP(G414+G415+G416+G417+G418+G419+G420+G421+G422+G423+G424+G425,2)</f>
        <v>205.01</v>
      </c>
      <c r="H442" s="1005"/>
      <c r="I442" s="1005"/>
      <c r="J442" s="1005"/>
      <c r="K442" s="1005"/>
      <c r="L442" s="1005"/>
      <c r="M442" s="1005"/>
    </row>
    <row r="443" spans="1:13">
      <c r="A443" s="2424"/>
      <c r="B443" s="2425"/>
      <c r="C443" s="2428" t="s">
        <v>800</v>
      </c>
      <c r="D443" s="2429"/>
      <c r="E443" s="2429"/>
      <c r="F443" s="2430"/>
      <c r="G443" s="1176"/>
      <c r="H443" s="1005"/>
      <c r="I443" s="1005"/>
      <c r="J443" s="1005"/>
      <c r="K443" s="1005"/>
      <c r="L443" s="1005"/>
      <c r="M443" s="1005"/>
    </row>
    <row r="444" spans="1:13">
      <c r="A444" s="2426"/>
      <c r="B444" s="2427"/>
      <c r="C444" s="2384" t="s">
        <v>324</v>
      </c>
      <c r="D444" s="2385"/>
      <c r="E444" s="2385"/>
      <c r="F444" s="2386"/>
      <c r="G444" s="1159">
        <f>ROUNDUP(G428+G434+G435+G429+G430+G432+G433+G436,2)</f>
        <v>193.45</v>
      </c>
      <c r="H444" s="1005"/>
      <c r="I444" s="1005"/>
      <c r="J444" s="1005"/>
      <c r="K444" s="1005"/>
      <c r="L444" s="1005"/>
      <c r="M444" s="1005"/>
    </row>
    <row r="445" spans="1:13" ht="15.75" thickBot="1">
      <c r="A445" s="2372" t="s">
        <v>357</v>
      </c>
      <c r="B445" s="2373"/>
      <c r="C445" s="2373"/>
      <c r="D445" s="2373"/>
      <c r="E445" s="2373"/>
      <c r="F445" s="2374"/>
      <c r="G445" s="1180">
        <f>ROUNDUP(G440+G442+G444,2)</f>
        <v>446.89</v>
      </c>
      <c r="H445" s="1005"/>
      <c r="I445" s="1098"/>
      <c r="J445" s="1005"/>
      <c r="K445" s="1005"/>
      <c r="L445" s="1005"/>
      <c r="M445" s="1005"/>
    </row>
    <row r="446" spans="1:13" ht="15.75" thickBot="1">
      <c r="A446" s="1177"/>
      <c r="B446" s="1178"/>
      <c r="C446" s="1178"/>
      <c r="D446" s="1178"/>
      <c r="E446" s="1178"/>
      <c r="F446" s="1178"/>
      <c r="G446" s="1179"/>
      <c r="H446" s="1005"/>
      <c r="I446" s="1005"/>
      <c r="J446" s="1005"/>
      <c r="K446" s="1005"/>
      <c r="L446" s="1005"/>
      <c r="M446" s="1005"/>
    </row>
    <row r="447" spans="1:13" ht="15.75" thickBot="1">
      <c r="A447" s="1019" t="s">
        <v>115</v>
      </c>
      <c r="B447" s="2262" t="s">
        <v>815</v>
      </c>
      <c r="C447" s="2263"/>
      <c r="D447" s="2263"/>
      <c r="E447" s="2263"/>
      <c r="F447" s="2263"/>
      <c r="G447" s="2264"/>
      <c r="H447" s="1005"/>
      <c r="I447" s="1020" t="s">
        <v>489</v>
      </c>
      <c r="J447" s="1005"/>
      <c r="K447" s="1005"/>
      <c r="L447" s="1005"/>
      <c r="M447" s="1005"/>
    </row>
    <row r="448" spans="1:13">
      <c r="A448" s="2265" t="s">
        <v>320</v>
      </c>
      <c r="B448" s="2266"/>
      <c r="C448" s="2266"/>
      <c r="D448" s="2266"/>
      <c r="E448" s="2266"/>
      <c r="F448" s="2266"/>
      <c r="G448" s="2267"/>
      <c r="H448" s="1005"/>
      <c r="I448" s="1005"/>
      <c r="J448" s="1005"/>
      <c r="K448" s="1005"/>
      <c r="L448" s="1005"/>
      <c r="M448" s="1005"/>
    </row>
    <row r="449" spans="1:13">
      <c r="A449" s="2419" t="s">
        <v>402</v>
      </c>
      <c r="B449" s="2420"/>
      <c r="C449" s="2420"/>
      <c r="D449" s="2420"/>
      <c r="E449" s="2420"/>
      <c r="F449" s="2420"/>
      <c r="G449" s="2421"/>
      <c r="H449" s="1005"/>
      <c r="I449" s="1005"/>
      <c r="J449" s="1005"/>
      <c r="K449" s="1005"/>
      <c r="L449" s="1005"/>
      <c r="M449" s="1005"/>
    </row>
    <row r="450" spans="1:13">
      <c r="A450" s="1034" t="s">
        <v>339</v>
      </c>
      <c r="B450" s="1035" t="s">
        <v>339</v>
      </c>
      <c r="C450" s="1035" t="s">
        <v>349</v>
      </c>
      <c r="D450" s="1035" t="s">
        <v>350</v>
      </c>
      <c r="E450" s="1035" t="s">
        <v>351</v>
      </c>
      <c r="F450" s="1035" t="s">
        <v>352</v>
      </c>
      <c r="G450" s="1093" t="s">
        <v>353</v>
      </c>
      <c r="H450" s="1005"/>
      <c r="I450" s="1005"/>
      <c r="J450" s="1005"/>
      <c r="K450" s="1005"/>
      <c r="L450" s="1005"/>
      <c r="M450" s="1005"/>
    </row>
    <row r="451" spans="1:13">
      <c r="A451" s="2387" t="s">
        <v>772</v>
      </c>
      <c r="B451" s="2388"/>
      <c r="C451" s="2388"/>
      <c r="D451" s="2388"/>
      <c r="E451" s="2388"/>
      <c r="F451" s="2388"/>
      <c r="G451" s="2389"/>
      <c r="H451" s="1005"/>
      <c r="I451" s="1005"/>
      <c r="J451" s="1005"/>
      <c r="K451" s="1005"/>
      <c r="L451" s="1005"/>
      <c r="M451" s="1005"/>
    </row>
    <row r="452" spans="1:13" ht="24">
      <c r="A452" s="1049" t="s">
        <v>816</v>
      </c>
      <c r="B452" s="1071">
        <f>1.05+2.85</f>
        <v>3.9000000000000004</v>
      </c>
      <c r="C452" s="1071">
        <v>2.1</v>
      </c>
      <c r="D452" s="1071">
        <f t="shared" ref="D452:D457" si="14">B452*C452</f>
        <v>8.1900000000000013</v>
      </c>
      <c r="E452" s="1095" t="s">
        <v>817</v>
      </c>
      <c r="F452" s="1071">
        <f>(0.8*2.1)+(1.1*0.6)</f>
        <v>2.3400000000000003</v>
      </c>
      <c r="G452" s="1096">
        <f t="shared" ref="G452:G460" si="15">D452-F452</f>
        <v>5.8500000000000014</v>
      </c>
      <c r="H452" s="1005"/>
      <c r="I452" s="1005"/>
      <c r="J452" s="1005"/>
      <c r="K452" s="1005"/>
      <c r="L452" s="1005"/>
      <c r="M452" s="1005"/>
    </row>
    <row r="453" spans="1:13" ht="24">
      <c r="A453" s="1049" t="s">
        <v>818</v>
      </c>
      <c r="B453" s="1153">
        <f>1.85+1.08+2</f>
        <v>4.93</v>
      </c>
      <c r="C453" s="1071">
        <v>2.1</v>
      </c>
      <c r="D453" s="1071">
        <f t="shared" si="14"/>
        <v>10.353</v>
      </c>
      <c r="E453" s="1071"/>
      <c r="F453" s="1071"/>
      <c r="G453" s="1096">
        <f t="shared" si="15"/>
        <v>10.353</v>
      </c>
      <c r="H453" s="1005"/>
      <c r="I453" s="1005"/>
      <c r="J453" s="1005"/>
      <c r="K453" s="1005"/>
      <c r="L453" s="1005"/>
      <c r="M453" s="1005"/>
    </row>
    <row r="454" spans="1:13" ht="24">
      <c r="A454" s="1049" t="s">
        <v>819</v>
      </c>
      <c r="B454" s="1071">
        <f>1.05+2.85</f>
        <v>3.9000000000000004</v>
      </c>
      <c r="C454" s="1071">
        <v>2.1</v>
      </c>
      <c r="D454" s="1071">
        <f t="shared" si="14"/>
        <v>8.1900000000000013</v>
      </c>
      <c r="E454" s="1095" t="s">
        <v>817</v>
      </c>
      <c r="F454" s="1071">
        <f>(0.8*2.1)+(1.1*0.6)</f>
        <v>2.3400000000000003</v>
      </c>
      <c r="G454" s="1096">
        <f t="shared" si="15"/>
        <v>5.8500000000000014</v>
      </c>
      <c r="H454" s="1005"/>
      <c r="I454" s="1005"/>
      <c r="J454" s="1005"/>
      <c r="K454" s="1005"/>
      <c r="L454" s="1005"/>
      <c r="M454" s="1005"/>
    </row>
    <row r="455" spans="1:13" ht="24">
      <c r="A455" s="1049" t="s">
        <v>820</v>
      </c>
      <c r="B455" s="1153">
        <f>1.85+1.08+2</f>
        <v>4.93</v>
      </c>
      <c r="C455" s="1071">
        <v>2.1</v>
      </c>
      <c r="D455" s="1071">
        <f t="shared" si="14"/>
        <v>10.353</v>
      </c>
      <c r="E455" s="1071"/>
      <c r="F455" s="1071"/>
      <c r="G455" s="1096">
        <f t="shared" si="15"/>
        <v>10.353</v>
      </c>
      <c r="H455" s="1005"/>
      <c r="I455" s="1005"/>
      <c r="J455" s="1005"/>
      <c r="K455" s="1005"/>
      <c r="L455" s="1005"/>
      <c r="M455" s="1005"/>
    </row>
    <row r="456" spans="1:13" ht="24">
      <c r="A456" s="1049" t="s">
        <v>821</v>
      </c>
      <c r="B456" s="1071">
        <f>1.35*2</f>
        <v>2.7</v>
      </c>
      <c r="C456" s="1071">
        <v>2.1</v>
      </c>
      <c r="D456" s="1071">
        <f t="shared" si="14"/>
        <v>5.6700000000000008</v>
      </c>
      <c r="E456" s="1095" t="s">
        <v>817</v>
      </c>
      <c r="F456" s="1071">
        <f>(0.8*2.1)+(1.1*0.6)</f>
        <v>2.3400000000000003</v>
      </c>
      <c r="G456" s="1096">
        <f t="shared" si="15"/>
        <v>3.3300000000000005</v>
      </c>
      <c r="H456" s="1005"/>
      <c r="I456" s="1005"/>
      <c r="J456" s="1005"/>
      <c r="K456" s="1005"/>
      <c r="L456" s="1005"/>
      <c r="M456" s="1005"/>
    </row>
    <row r="457" spans="1:13">
      <c r="A457" s="1049" t="s">
        <v>822</v>
      </c>
      <c r="B457" s="1071">
        <f>2.35+2.35</f>
        <v>4.7</v>
      </c>
      <c r="C457" s="1071">
        <v>2.1</v>
      </c>
      <c r="D457" s="1071">
        <f t="shared" si="14"/>
        <v>9.870000000000001</v>
      </c>
      <c r="E457" s="1071"/>
      <c r="F457" s="1071"/>
      <c r="G457" s="1096">
        <f t="shared" si="15"/>
        <v>9.870000000000001</v>
      </c>
      <c r="H457" s="1005"/>
      <c r="I457" s="1005"/>
      <c r="J457" s="1005"/>
      <c r="K457" s="1005"/>
      <c r="L457" s="1005"/>
      <c r="M457" s="1005"/>
    </row>
    <row r="458" spans="1:13" ht="24">
      <c r="A458" s="1049" t="s">
        <v>823</v>
      </c>
      <c r="B458" s="1071">
        <v>4</v>
      </c>
      <c r="C458" s="1071">
        <v>2.1</v>
      </c>
      <c r="D458" s="1071">
        <f>4*2.1</f>
        <v>8.4</v>
      </c>
      <c r="E458" s="1095" t="s">
        <v>824</v>
      </c>
      <c r="F458" s="1071">
        <f>(0.6*1.1)+(1.2*1.1)</f>
        <v>1.98</v>
      </c>
      <c r="G458" s="1096">
        <f t="shared" si="15"/>
        <v>6.42</v>
      </c>
      <c r="H458" s="1005"/>
      <c r="I458" s="1005"/>
      <c r="J458" s="1005"/>
      <c r="K458" s="1005"/>
      <c r="L458" s="1005"/>
      <c r="M458" s="1005"/>
    </row>
    <row r="459" spans="1:13" ht="36">
      <c r="A459" s="1049" t="s">
        <v>825</v>
      </c>
      <c r="B459" s="1071">
        <f>1.85+1.65+1.65+1.85</f>
        <v>7</v>
      </c>
      <c r="C459" s="1071">
        <v>2.1</v>
      </c>
      <c r="D459" s="1071">
        <f>4*2.1</f>
        <v>8.4</v>
      </c>
      <c r="E459" s="1095" t="s">
        <v>826</v>
      </c>
      <c r="F459" s="1071">
        <f>(0.8*2.1)+(0.4*0.6)</f>
        <v>1.9200000000000002</v>
      </c>
      <c r="G459" s="1096">
        <f t="shared" si="15"/>
        <v>6.48</v>
      </c>
      <c r="H459" s="1005"/>
      <c r="I459" s="1005"/>
      <c r="J459" s="1005"/>
      <c r="K459" s="1005"/>
      <c r="L459" s="1005"/>
      <c r="M459" s="1005"/>
    </row>
    <row r="460" spans="1:13" ht="36">
      <c r="A460" s="1049" t="s">
        <v>827</v>
      </c>
      <c r="B460" s="1071">
        <f>1.85+1.65+1.65+1.85</f>
        <v>7</v>
      </c>
      <c r="C460" s="1071">
        <v>2.1</v>
      </c>
      <c r="D460" s="1071">
        <f>4*2.1</f>
        <v>8.4</v>
      </c>
      <c r="E460" s="1095" t="s">
        <v>826</v>
      </c>
      <c r="F460" s="1071">
        <f>(0.8*2.1)+(0.4*0.6)</f>
        <v>1.9200000000000002</v>
      </c>
      <c r="G460" s="1096">
        <f t="shared" si="15"/>
        <v>6.48</v>
      </c>
      <c r="H460" s="1005"/>
      <c r="I460" s="1005"/>
      <c r="J460" s="1005"/>
      <c r="K460" s="1005"/>
      <c r="L460" s="1005"/>
      <c r="M460" s="1005"/>
    </row>
    <row r="461" spans="1:13">
      <c r="A461" s="2334"/>
      <c r="B461" s="2254"/>
      <c r="C461" s="2254"/>
      <c r="D461" s="2254"/>
      <c r="E461" s="2254"/>
      <c r="F461" s="2254"/>
      <c r="G461" s="2255"/>
      <c r="H461" s="1005"/>
      <c r="I461" s="1005"/>
      <c r="J461" s="1005"/>
      <c r="K461" s="1005"/>
      <c r="L461" s="1005"/>
      <c r="M461" s="1005"/>
    </row>
    <row r="462" spans="1:13">
      <c r="A462" s="2387" t="s">
        <v>782</v>
      </c>
      <c r="B462" s="2388"/>
      <c r="C462" s="2388"/>
      <c r="D462" s="2388"/>
      <c r="E462" s="2388"/>
      <c r="F462" s="2388"/>
      <c r="G462" s="2389"/>
      <c r="H462" s="1005"/>
      <c r="I462" s="1005"/>
      <c r="J462" s="1005"/>
      <c r="K462" s="1005"/>
      <c r="L462" s="1005"/>
      <c r="M462" s="1005"/>
    </row>
    <row r="463" spans="1:13" ht="24">
      <c r="A463" s="1049" t="s">
        <v>828</v>
      </c>
      <c r="B463" s="1071">
        <v>3.85</v>
      </c>
      <c r="C463" s="1071">
        <v>2.1</v>
      </c>
      <c r="D463" s="1071">
        <f>B463*C463</f>
        <v>8.0850000000000009</v>
      </c>
      <c r="E463" s="1071"/>
      <c r="F463" s="1071"/>
      <c r="G463" s="1096">
        <f>D463-F463</f>
        <v>8.0850000000000009</v>
      </c>
      <c r="H463" s="1005"/>
      <c r="I463" s="1005"/>
      <c r="J463" s="1005"/>
      <c r="K463" s="1005"/>
      <c r="L463" s="1005"/>
      <c r="M463" s="1005"/>
    </row>
    <row r="464" spans="1:13" ht="24">
      <c r="A464" s="1049" t="s">
        <v>829</v>
      </c>
      <c r="B464" s="1071">
        <v>3.85</v>
      </c>
      <c r="C464" s="1071">
        <v>2.1</v>
      </c>
      <c r="D464" s="1071">
        <f>B464*C464</f>
        <v>8.0850000000000009</v>
      </c>
      <c r="E464" s="1071"/>
      <c r="F464" s="1071"/>
      <c r="G464" s="1096">
        <f>D464-F464</f>
        <v>8.0850000000000009</v>
      </c>
      <c r="H464" s="1005"/>
      <c r="I464" s="1005"/>
      <c r="J464" s="1005"/>
      <c r="K464" s="1005"/>
      <c r="L464" s="1005"/>
      <c r="M464" s="1005"/>
    </row>
    <row r="465" spans="1:13">
      <c r="A465" s="1049" t="s">
        <v>830</v>
      </c>
      <c r="B465" s="1071">
        <v>3.85</v>
      </c>
      <c r="C465" s="1071">
        <v>2.1</v>
      </c>
      <c r="D465" s="1071">
        <f>B465*C465</f>
        <v>8.0850000000000009</v>
      </c>
      <c r="E465" s="1095" t="s">
        <v>831</v>
      </c>
      <c r="F465" s="1071">
        <f>0.8*2.1</f>
        <v>1.6800000000000002</v>
      </c>
      <c r="G465" s="1096">
        <f>D465-F465</f>
        <v>6.4050000000000011</v>
      </c>
      <c r="H465" s="1005"/>
      <c r="I465" s="1005"/>
      <c r="J465" s="1005"/>
      <c r="K465" s="1005"/>
      <c r="L465" s="1005"/>
      <c r="M465" s="1005"/>
    </row>
    <row r="466" spans="1:13">
      <c r="A466" s="1049" t="s">
        <v>830</v>
      </c>
      <c r="B466" s="1071">
        <v>3.85</v>
      </c>
      <c r="C466" s="1071">
        <v>2.1</v>
      </c>
      <c r="D466" s="1071">
        <f>B466*C466</f>
        <v>8.0850000000000009</v>
      </c>
      <c r="E466" s="1071"/>
      <c r="F466" s="1071"/>
      <c r="G466" s="1096">
        <f>D466-F466</f>
        <v>8.0850000000000009</v>
      </c>
      <c r="H466" s="1005"/>
      <c r="I466" s="1005"/>
      <c r="J466" s="1005"/>
      <c r="K466" s="1005"/>
      <c r="L466" s="1005"/>
      <c r="M466" s="1005"/>
    </row>
    <row r="467" spans="1:13">
      <c r="A467" s="2334"/>
      <c r="B467" s="2254"/>
      <c r="C467" s="2254"/>
      <c r="D467" s="2254"/>
      <c r="E467" s="2254"/>
      <c r="F467" s="2254"/>
      <c r="G467" s="2255"/>
      <c r="H467" s="1005"/>
      <c r="I467" s="1005"/>
      <c r="J467" s="1005"/>
      <c r="K467" s="1005"/>
      <c r="L467" s="1005"/>
      <c r="M467" s="1005"/>
    </row>
    <row r="468" spans="1:13">
      <c r="A468" s="2271" t="s">
        <v>813</v>
      </c>
      <c r="B468" s="2274"/>
      <c r="C468" s="2274"/>
      <c r="D468" s="2274"/>
      <c r="E468" s="2274"/>
      <c r="F468" s="2274"/>
      <c r="G468" s="2275"/>
      <c r="H468" s="1005"/>
      <c r="I468" s="1005"/>
      <c r="J468" s="1005"/>
      <c r="K468" s="1005"/>
      <c r="L468" s="1005"/>
      <c r="M468" s="1005"/>
    </row>
    <row r="469" spans="1:13">
      <c r="A469" s="2375"/>
      <c r="B469" s="2376"/>
      <c r="C469" s="2381" t="s">
        <v>772</v>
      </c>
      <c r="D469" s="2382"/>
      <c r="E469" s="2382"/>
      <c r="F469" s="2383"/>
      <c r="G469" s="1096"/>
      <c r="H469" s="1005"/>
      <c r="I469" s="1005"/>
      <c r="J469" s="1005"/>
      <c r="K469" s="1005"/>
      <c r="L469" s="1005"/>
      <c r="M469" s="1005"/>
    </row>
    <row r="470" spans="1:13">
      <c r="A470" s="2377"/>
      <c r="B470" s="2378"/>
      <c r="C470" s="2384" t="s">
        <v>324</v>
      </c>
      <c r="D470" s="2385"/>
      <c r="E470" s="2385"/>
      <c r="F470" s="2386"/>
      <c r="G470" s="1159">
        <f>ROUNDUP(G452+G453+G454+G455+G458+G456+G457+G459+G460,2)</f>
        <v>64.990000000000009</v>
      </c>
      <c r="H470" s="1005"/>
      <c r="I470" s="1005"/>
      <c r="J470" s="1005"/>
      <c r="K470" s="1005"/>
      <c r="L470" s="1005"/>
      <c r="M470" s="1005"/>
    </row>
    <row r="471" spans="1:13">
      <c r="A471" s="2377"/>
      <c r="B471" s="2378"/>
      <c r="C471" s="2381" t="s">
        <v>782</v>
      </c>
      <c r="D471" s="2382"/>
      <c r="E471" s="2382"/>
      <c r="F471" s="2383"/>
      <c r="G471" s="1160"/>
      <c r="H471" s="1005"/>
      <c r="I471" s="1005"/>
      <c r="J471" s="1005"/>
      <c r="K471" s="1005"/>
      <c r="L471" s="1005"/>
      <c r="M471" s="1005"/>
    </row>
    <row r="472" spans="1:13">
      <c r="A472" s="2379"/>
      <c r="B472" s="2380"/>
      <c r="C472" s="2384" t="s">
        <v>324</v>
      </c>
      <c r="D472" s="2385"/>
      <c r="E472" s="2385"/>
      <c r="F472" s="2386"/>
      <c r="G472" s="1159">
        <f>ROUNDUP(G463+G464+G465+G466,2)</f>
        <v>30.66</v>
      </c>
      <c r="H472" s="1005"/>
      <c r="I472" s="1005"/>
      <c r="J472" s="1005"/>
      <c r="K472" s="1005"/>
      <c r="L472" s="1005"/>
      <c r="M472" s="1005"/>
    </row>
    <row r="473" spans="1:13" ht="15.75" thickBot="1">
      <c r="A473" s="2372" t="s">
        <v>357</v>
      </c>
      <c r="B473" s="2373"/>
      <c r="C473" s="2373"/>
      <c r="D473" s="2373"/>
      <c r="E473" s="2373"/>
      <c r="F473" s="2374"/>
      <c r="G473" s="1180">
        <f>ROUNDUP(G470+G472,2)</f>
        <v>95.65</v>
      </c>
      <c r="H473" s="1005"/>
      <c r="I473" s="1005"/>
      <c r="J473" s="1005"/>
      <c r="K473" s="1005"/>
      <c r="L473" s="1005"/>
      <c r="M473" s="1005"/>
    </row>
    <row r="474" spans="1:13" ht="15.75" thickBot="1">
      <c r="A474" s="1177"/>
      <c r="B474" s="1178"/>
      <c r="C474" s="1178"/>
      <c r="D474" s="1178"/>
      <c r="E474" s="1178"/>
      <c r="F474" s="1178"/>
      <c r="G474" s="1179"/>
      <c r="H474" s="1005"/>
      <c r="I474" s="1005"/>
      <c r="J474" s="1005"/>
      <c r="K474" s="1005"/>
      <c r="L474" s="1005"/>
      <c r="M474" s="1005"/>
    </row>
    <row r="475" spans="1:13" ht="15.75" thickBot="1">
      <c r="A475" s="1019" t="s">
        <v>116</v>
      </c>
      <c r="B475" s="2262" t="s">
        <v>832</v>
      </c>
      <c r="C475" s="2263"/>
      <c r="D475" s="2263"/>
      <c r="E475" s="2263"/>
      <c r="F475" s="2263"/>
      <c r="G475" s="2264"/>
      <c r="H475" s="1005"/>
      <c r="I475" s="1020" t="s">
        <v>489</v>
      </c>
      <c r="J475" s="1005"/>
      <c r="K475" s="1005"/>
      <c r="L475" s="1005"/>
      <c r="M475" s="1005"/>
    </row>
    <row r="476" spans="1:13">
      <c r="A476" s="2265" t="s">
        <v>320</v>
      </c>
      <c r="B476" s="2266"/>
      <c r="C476" s="2266"/>
      <c r="D476" s="2266"/>
      <c r="E476" s="2266"/>
      <c r="F476" s="2266"/>
      <c r="G476" s="2267"/>
      <c r="H476" s="1005"/>
      <c r="I476" s="1005"/>
      <c r="J476" s="1005"/>
      <c r="K476" s="1005"/>
      <c r="L476" s="1005"/>
      <c r="M476" s="1005"/>
    </row>
    <row r="477" spans="1:13">
      <c r="A477" s="2419" t="s">
        <v>402</v>
      </c>
      <c r="B477" s="2420"/>
      <c r="C477" s="2420"/>
      <c r="D477" s="2420"/>
      <c r="E477" s="2420"/>
      <c r="F477" s="2420"/>
      <c r="G477" s="2421"/>
      <c r="H477" s="1005"/>
      <c r="I477" s="1005"/>
      <c r="J477" s="1005"/>
      <c r="K477" s="1005"/>
      <c r="L477" s="1005"/>
      <c r="M477" s="1005"/>
    </row>
    <row r="478" spans="1:13">
      <c r="A478" s="1034" t="s">
        <v>339</v>
      </c>
      <c r="B478" s="1035" t="s">
        <v>339</v>
      </c>
      <c r="C478" s="1035" t="s">
        <v>349</v>
      </c>
      <c r="D478" s="1035" t="s">
        <v>350</v>
      </c>
      <c r="E478" s="1035" t="s">
        <v>351</v>
      </c>
      <c r="F478" s="1035" t="s">
        <v>352</v>
      </c>
      <c r="G478" s="1093" t="s">
        <v>353</v>
      </c>
      <c r="H478" s="1005"/>
      <c r="I478" s="1005"/>
      <c r="J478" s="1005"/>
      <c r="K478" s="1005"/>
      <c r="L478" s="1005"/>
      <c r="M478" s="1005"/>
    </row>
    <row r="479" spans="1:13">
      <c r="A479" s="2387" t="s">
        <v>772</v>
      </c>
      <c r="B479" s="2388"/>
      <c r="C479" s="2388"/>
      <c r="D479" s="2388"/>
      <c r="E479" s="2388"/>
      <c r="F479" s="2388"/>
      <c r="G479" s="2389"/>
      <c r="H479" s="1005"/>
      <c r="I479" s="1005"/>
      <c r="J479" s="1005"/>
      <c r="K479" s="1005"/>
      <c r="L479" s="1005"/>
      <c r="M479" s="1005"/>
    </row>
    <row r="480" spans="1:13" ht="24">
      <c r="A480" s="1049" t="s">
        <v>816</v>
      </c>
      <c r="B480" s="1071">
        <f>1.05+2.85</f>
        <v>3.9000000000000004</v>
      </c>
      <c r="C480" s="1071">
        <v>2.1</v>
      </c>
      <c r="D480" s="1071">
        <f t="shared" ref="D480:D485" si="16">B480*C480</f>
        <v>8.1900000000000013</v>
      </c>
      <c r="E480" s="1095" t="s">
        <v>817</v>
      </c>
      <c r="F480" s="1071">
        <f>(0.8*2.1)+(1.1*0.6)</f>
        <v>2.3400000000000003</v>
      </c>
      <c r="G480" s="1096">
        <f t="shared" ref="G480:G488" si="17">D480-F480</f>
        <v>5.8500000000000014</v>
      </c>
      <c r="H480" s="1005"/>
      <c r="I480" s="1005"/>
      <c r="J480" s="1005"/>
      <c r="K480" s="1005"/>
      <c r="L480" s="1005"/>
      <c r="M480" s="1005"/>
    </row>
    <row r="481" spans="1:13" ht="24">
      <c r="A481" s="1049" t="s">
        <v>818</v>
      </c>
      <c r="B481" s="1153">
        <f>1.85+1.08+2</f>
        <v>4.93</v>
      </c>
      <c r="C481" s="1071">
        <v>2.1</v>
      </c>
      <c r="D481" s="1071">
        <f t="shared" si="16"/>
        <v>10.353</v>
      </c>
      <c r="E481" s="1071"/>
      <c r="F481" s="1071"/>
      <c r="G481" s="1096">
        <f t="shared" si="17"/>
        <v>10.353</v>
      </c>
      <c r="H481" s="1005"/>
      <c r="I481" s="1005"/>
      <c r="J481" s="1005"/>
      <c r="K481" s="1005"/>
      <c r="L481" s="1005"/>
      <c r="M481" s="1005"/>
    </row>
    <row r="482" spans="1:13" ht="24">
      <c r="A482" s="1049" t="s">
        <v>819</v>
      </c>
      <c r="B482" s="1071">
        <f>1.05+2.85</f>
        <v>3.9000000000000004</v>
      </c>
      <c r="C482" s="1071">
        <v>2.1</v>
      </c>
      <c r="D482" s="1071">
        <f t="shared" si="16"/>
        <v>8.1900000000000013</v>
      </c>
      <c r="E482" s="1095" t="s">
        <v>817</v>
      </c>
      <c r="F482" s="1071">
        <f>(0.8*2.1)+(1.1*0.6)</f>
        <v>2.3400000000000003</v>
      </c>
      <c r="G482" s="1096">
        <f t="shared" si="17"/>
        <v>5.8500000000000014</v>
      </c>
      <c r="H482" s="1005"/>
      <c r="I482" s="1005"/>
      <c r="J482" s="1005"/>
      <c r="K482" s="1005"/>
      <c r="L482" s="1005"/>
      <c r="M482" s="1005"/>
    </row>
    <row r="483" spans="1:13" ht="24">
      <c r="A483" s="1049" t="s">
        <v>820</v>
      </c>
      <c r="B483" s="1153">
        <f>1.85+1.08+2</f>
        <v>4.93</v>
      </c>
      <c r="C483" s="1071">
        <v>2.1</v>
      </c>
      <c r="D483" s="1071">
        <f t="shared" si="16"/>
        <v>10.353</v>
      </c>
      <c r="E483" s="1071"/>
      <c r="F483" s="1071"/>
      <c r="G483" s="1096">
        <f t="shared" si="17"/>
        <v>10.353</v>
      </c>
      <c r="H483" s="1005"/>
      <c r="I483" s="1005"/>
      <c r="J483" s="1005"/>
      <c r="K483" s="1005"/>
      <c r="L483" s="1005"/>
      <c r="M483" s="1005"/>
    </row>
    <row r="484" spans="1:13" ht="24">
      <c r="A484" s="1049" t="s">
        <v>821</v>
      </c>
      <c r="B484" s="1071">
        <f>1.35*2</f>
        <v>2.7</v>
      </c>
      <c r="C484" s="1071">
        <v>2.1</v>
      </c>
      <c r="D484" s="1071">
        <f t="shared" si="16"/>
        <v>5.6700000000000008</v>
      </c>
      <c r="E484" s="1095" t="s">
        <v>817</v>
      </c>
      <c r="F484" s="1071">
        <f>(0.8*2.1)+(1.1*0.6)</f>
        <v>2.3400000000000003</v>
      </c>
      <c r="G484" s="1096">
        <f t="shared" si="17"/>
        <v>3.3300000000000005</v>
      </c>
      <c r="H484" s="1005"/>
      <c r="I484" s="1005"/>
      <c r="J484" s="1005"/>
      <c r="K484" s="1005"/>
      <c r="L484" s="1005"/>
      <c r="M484" s="1005"/>
    </row>
    <row r="485" spans="1:13">
      <c r="A485" s="1049" t="s">
        <v>822</v>
      </c>
      <c r="B485" s="1071">
        <f>2.35+2.35</f>
        <v>4.7</v>
      </c>
      <c r="C485" s="1071">
        <v>2.1</v>
      </c>
      <c r="D485" s="1071">
        <f t="shared" si="16"/>
        <v>9.870000000000001</v>
      </c>
      <c r="E485" s="1071"/>
      <c r="F485" s="1071"/>
      <c r="G485" s="1096">
        <f t="shared" si="17"/>
        <v>9.870000000000001</v>
      </c>
      <c r="H485" s="1005"/>
      <c r="I485" s="1005"/>
      <c r="J485" s="1005"/>
      <c r="K485" s="1005"/>
      <c r="L485" s="1005"/>
      <c r="M485" s="1005"/>
    </row>
    <row r="486" spans="1:13" ht="24">
      <c r="A486" s="1049" t="s">
        <v>823</v>
      </c>
      <c r="B486" s="1071">
        <v>4</v>
      </c>
      <c r="C486" s="1071">
        <v>2.1</v>
      </c>
      <c r="D486" s="1071">
        <f>4*2.1</f>
        <v>8.4</v>
      </c>
      <c r="E486" s="1095" t="s">
        <v>824</v>
      </c>
      <c r="F486" s="1071">
        <f>(0.6*1.1)+(1.2*1.1)</f>
        <v>1.98</v>
      </c>
      <c r="G486" s="1096">
        <f t="shared" si="17"/>
        <v>6.42</v>
      </c>
      <c r="H486" s="1005"/>
      <c r="I486" s="1005"/>
      <c r="J486" s="1005"/>
      <c r="K486" s="1005"/>
      <c r="L486" s="1005"/>
      <c r="M486" s="1005"/>
    </row>
    <row r="487" spans="1:13" ht="36">
      <c r="A487" s="1049" t="s">
        <v>825</v>
      </c>
      <c r="B487" s="1071">
        <f>1.85+1.65+1.65+1.85</f>
        <v>7</v>
      </c>
      <c r="C487" s="1071">
        <v>2.1</v>
      </c>
      <c r="D487" s="1071">
        <f>4*2.1</f>
        <v>8.4</v>
      </c>
      <c r="E487" s="1095" t="s">
        <v>826</v>
      </c>
      <c r="F487" s="1071">
        <f>(0.8*2.1)+(0.4*0.6)</f>
        <v>1.9200000000000002</v>
      </c>
      <c r="G487" s="1096">
        <f t="shared" si="17"/>
        <v>6.48</v>
      </c>
      <c r="H487" s="1005"/>
      <c r="I487" s="1005"/>
      <c r="J487" s="1005"/>
      <c r="K487" s="1005"/>
      <c r="L487" s="1005"/>
      <c r="M487" s="1005"/>
    </row>
    <row r="488" spans="1:13" ht="36">
      <c r="A488" s="1049" t="s">
        <v>827</v>
      </c>
      <c r="B488" s="1071">
        <f>1.85+1.65+1.65+1.85</f>
        <v>7</v>
      </c>
      <c r="C488" s="1071">
        <v>2.1</v>
      </c>
      <c r="D488" s="1071">
        <f>4*2.1</f>
        <v>8.4</v>
      </c>
      <c r="E488" s="1095" t="s">
        <v>826</v>
      </c>
      <c r="F488" s="1071">
        <f>(0.8*2.1)+(0.4*0.6)</f>
        <v>1.9200000000000002</v>
      </c>
      <c r="G488" s="1096">
        <f t="shared" si="17"/>
        <v>6.48</v>
      </c>
      <c r="H488" s="1005"/>
      <c r="I488" s="1005"/>
      <c r="J488" s="1005"/>
      <c r="K488" s="1005"/>
      <c r="L488" s="1005"/>
      <c r="M488" s="1005"/>
    </row>
    <row r="489" spans="1:13">
      <c r="A489" s="2334"/>
      <c r="B489" s="2254"/>
      <c r="C489" s="2254"/>
      <c r="D489" s="2254"/>
      <c r="E489" s="2254"/>
      <c r="F489" s="2254"/>
      <c r="G489" s="2255"/>
      <c r="H489" s="1005"/>
      <c r="I489" s="1005"/>
      <c r="J489" s="1005"/>
      <c r="K489" s="1005"/>
      <c r="L489" s="1005"/>
      <c r="M489" s="1005"/>
    </row>
    <row r="490" spans="1:13">
      <c r="A490" s="2387" t="s">
        <v>782</v>
      </c>
      <c r="B490" s="2388"/>
      <c r="C490" s="2388"/>
      <c r="D490" s="2388"/>
      <c r="E490" s="2388"/>
      <c r="F490" s="2388"/>
      <c r="G490" s="2389"/>
      <c r="H490" s="1005"/>
      <c r="I490" s="1005"/>
      <c r="J490" s="1005"/>
      <c r="K490" s="1005"/>
      <c r="L490" s="1005"/>
      <c r="M490" s="1005"/>
    </row>
    <row r="491" spans="1:13" ht="24">
      <c r="A491" s="1049" t="s">
        <v>828</v>
      </c>
      <c r="B491" s="1071">
        <v>3.85</v>
      </c>
      <c r="C491" s="1071">
        <v>2.1</v>
      </c>
      <c r="D491" s="1071">
        <f>B491*C491</f>
        <v>8.0850000000000009</v>
      </c>
      <c r="E491" s="1071"/>
      <c r="F491" s="1071"/>
      <c r="G491" s="1096">
        <f>D491-F491</f>
        <v>8.0850000000000009</v>
      </c>
      <c r="H491" s="1005"/>
      <c r="I491" s="1005"/>
      <c r="J491" s="1005"/>
      <c r="K491" s="1005"/>
      <c r="L491" s="1005"/>
      <c r="M491" s="1005"/>
    </row>
    <row r="492" spans="1:13" ht="24">
      <c r="A492" s="1049" t="s">
        <v>829</v>
      </c>
      <c r="B492" s="1071">
        <v>3.85</v>
      </c>
      <c r="C492" s="1071">
        <v>2.1</v>
      </c>
      <c r="D492" s="1071">
        <f>B492*C492</f>
        <v>8.0850000000000009</v>
      </c>
      <c r="E492" s="1071"/>
      <c r="F492" s="1071"/>
      <c r="G492" s="1096">
        <f>D492-F492</f>
        <v>8.0850000000000009</v>
      </c>
      <c r="H492" s="1005"/>
      <c r="I492" s="1005"/>
      <c r="J492" s="1005"/>
      <c r="K492" s="1005"/>
      <c r="L492" s="1005"/>
      <c r="M492" s="1005"/>
    </row>
    <row r="493" spans="1:13">
      <c r="A493" s="1049" t="s">
        <v>830</v>
      </c>
      <c r="B493" s="1071">
        <v>3.85</v>
      </c>
      <c r="C493" s="1071">
        <v>2.1</v>
      </c>
      <c r="D493" s="1071">
        <f>B493*C493</f>
        <v>8.0850000000000009</v>
      </c>
      <c r="E493" s="1095" t="s">
        <v>831</v>
      </c>
      <c r="F493" s="1071">
        <f>0.8*2.1</f>
        <v>1.6800000000000002</v>
      </c>
      <c r="G493" s="1096">
        <f>D493-F493</f>
        <v>6.4050000000000011</v>
      </c>
      <c r="H493" s="1005"/>
      <c r="I493" s="1005"/>
      <c r="J493" s="1005"/>
      <c r="K493" s="1005"/>
      <c r="L493" s="1005"/>
      <c r="M493" s="1005"/>
    </row>
    <row r="494" spans="1:13">
      <c r="A494" s="1049" t="s">
        <v>830</v>
      </c>
      <c r="B494" s="1071">
        <v>3.85</v>
      </c>
      <c r="C494" s="1071">
        <v>2.1</v>
      </c>
      <c r="D494" s="1071">
        <f>B494*C494</f>
        <v>8.0850000000000009</v>
      </c>
      <c r="E494" s="1071"/>
      <c r="F494" s="1071"/>
      <c r="G494" s="1096">
        <f>D494-F494</f>
        <v>8.0850000000000009</v>
      </c>
      <c r="H494" s="1005"/>
      <c r="I494" s="1005"/>
      <c r="J494" s="1005"/>
      <c r="K494" s="1005"/>
      <c r="L494" s="1005"/>
      <c r="M494" s="1005"/>
    </row>
    <row r="495" spans="1:13">
      <c r="A495" s="2334"/>
      <c r="B495" s="2254"/>
      <c r="C495" s="2254"/>
      <c r="D495" s="2254"/>
      <c r="E495" s="2254"/>
      <c r="F495" s="2254"/>
      <c r="G495" s="2255"/>
      <c r="H495" s="1005"/>
      <c r="I495" s="1005"/>
      <c r="J495" s="1005"/>
      <c r="K495" s="1005"/>
      <c r="L495" s="1005"/>
      <c r="M495" s="1005"/>
    </row>
    <row r="496" spans="1:13">
      <c r="A496" s="2271" t="s">
        <v>2154</v>
      </c>
      <c r="B496" s="2274"/>
      <c r="C496" s="2274"/>
      <c r="D496" s="2274"/>
      <c r="E496" s="2274"/>
      <c r="F496" s="2274"/>
      <c r="G496" s="2275"/>
      <c r="H496" s="1005"/>
      <c r="I496" s="1005"/>
      <c r="J496" s="1005"/>
      <c r="K496" s="1005"/>
      <c r="L496" s="1005"/>
      <c r="M496" s="1005"/>
    </row>
    <row r="497" spans="1:13">
      <c r="A497" s="2375"/>
      <c r="B497" s="2376"/>
      <c r="C497" s="2381" t="s">
        <v>772</v>
      </c>
      <c r="D497" s="2382"/>
      <c r="E497" s="2382"/>
      <c r="F497" s="2383"/>
      <c r="G497" s="1096"/>
      <c r="H497" s="1005"/>
      <c r="I497" s="1005"/>
      <c r="J497" s="1005"/>
      <c r="K497" s="1005"/>
      <c r="L497" s="1005"/>
      <c r="M497" s="1005"/>
    </row>
    <row r="498" spans="1:13">
      <c r="A498" s="2377"/>
      <c r="B498" s="2378"/>
      <c r="C498" s="2384" t="s">
        <v>324</v>
      </c>
      <c r="D498" s="2385"/>
      <c r="E498" s="2385"/>
      <c r="F498" s="2386"/>
      <c r="G498" s="1159">
        <f>ROUNDUP(G480+G481+G482+G483+G486+G484+G485+G487+G488,2)</f>
        <v>64.990000000000009</v>
      </c>
      <c r="H498" s="1005"/>
      <c r="I498" s="1005"/>
      <c r="J498" s="1005"/>
      <c r="K498" s="1005"/>
      <c r="L498" s="1005"/>
      <c r="M498" s="1005"/>
    </row>
    <row r="499" spans="1:13">
      <c r="A499" s="2377"/>
      <c r="B499" s="2378"/>
      <c r="C499" s="2381" t="s">
        <v>782</v>
      </c>
      <c r="D499" s="2382"/>
      <c r="E499" s="2382"/>
      <c r="F499" s="2383"/>
      <c r="G499" s="1160"/>
      <c r="H499" s="1005"/>
      <c r="I499" s="1005"/>
      <c r="J499" s="1005"/>
      <c r="K499" s="1005"/>
      <c r="L499" s="1005"/>
      <c r="M499" s="1005"/>
    </row>
    <row r="500" spans="1:13">
      <c r="A500" s="2379"/>
      <c r="B500" s="2380"/>
      <c r="C500" s="2384" t="s">
        <v>324</v>
      </c>
      <c r="D500" s="2385"/>
      <c r="E500" s="2385"/>
      <c r="F500" s="2386"/>
      <c r="G500" s="1159">
        <f>ROUNDUP(G491+G492+G493+G494,2)</f>
        <v>30.66</v>
      </c>
      <c r="H500" s="1005"/>
      <c r="I500" s="1005"/>
      <c r="J500" s="1005"/>
      <c r="K500" s="1005"/>
      <c r="L500" s="1005"/>
      <c r="M500" s="1005"/>
    </row>
    <row r="501" spans="1:13" ht="15.75" thickBot="1">
      <c r="A501" s="2372" t="s">
        <v>357</v>
      </c>
      <c r="B501" s="2373"/>
      <c r="C501" s="2373"/>
      <c r="D501" s="2373"/>
      <c r="E501" s="2373"/>
      <c r="F501" s="2374"/>
      <c r="G501" s="1180">
        <f>ROUNDUP(G498+G500,2)</f>
        <v>95.65</v>
      </c>
      <c r="H501" s="1005"/>
      <c r="I501" s="1005"/>
      <c r="J501" s="1005"/>
      <c r="K501" s="1005"/>
      <c r="L501" s="1005"/>
      <c r="M501" s="1005"/>
    </row>
    <row r="502" spans="1:13" ht="15.75" thickBot="1">
      <c r="A502" s="1177"/>
      <c r="B502" s="1178"/>
      <c r="C502" s="1178"/>
      <c r="D502" s="1178"/>
      <c r="E502" s="1178"/>
      <c r="F502" s="1178"/>
      <c r="G502" s="1179"/>
      <c r="H502" s="1005"/>
      <c r="I502" s="1005"/>
      <c r="J502" s="1005"/>
      <c r="K502" s="1005"/>
      <c r="L502" s="1005"/>
      <c r="M502" s="1005"/>
    </row>
    <row r="503" spans="1:13" ht="15.75" thickBot="1">
      <c r="A503" s="1019" t="s">
        <v>117</v>
      </c>
      <c r="B503" s="2262" t="s">
        <v>833</v>
      </c>
      <c r="C503" s="2263"/>
      <c r="D503" s="2263"/>
      <c r="E503" s="2263"/>
      <c r="F503" s="2263"/>
      <c r="G503" s="2264"/>
      <c r="H503" s="1005"/>
      <c r="I503" s="1005"/>
      <c r="J503" s="1005"/>
      <c r="K503" s="1005"/>
      <c r="L503" s="1005"/>
      <c r="M503" s="1005"/>
    </row>
    <row r="504" spans="1:13">
      <c r="A504" s="2265" t="s">
        <v>320</v>
      </c>
      <c r="B504" s="2266"/>
      <c r="C504" s="2266"/>
      <c r="D504" s="2266"/>
      <c r="E504" s="2266"/>
      <c r="F504" s="2266"/>
      <c r="G504" s="2267"/>
      <c r="H504" s="1005"/>
      <c r="I504" s="1005"/>
      <c r="J504" s="1005"/>
      <c r="K504" s="1005"/>
      <c r="L504" s="1005"/>
      <c r="M504" s="1005"/>
    </row>
    <row r="505" spans="1:13">
      <c r="A505" s="2419" t="s">
        <v>402</v>
      </c>
      <c r="B505" s="2420"/>
      <c r="C505" s="2420"/>
      <c r="D505" s="2420"/>
      <c r="E505" s="2420"/>
      <c r="F505" s="2420"/>
      <c r="G505" s="2421"/>
      <c r="H505" s="1005"/>
      <c r="I505" s="1005"/>
      <c r="J505" s="1005"/>
      <c r="K505" s="1005"/>
      <c r="L505" s="1005"/>
      <c r="M505" s="1005"/>
    </row>
    <row r="506" spans="1:13">
      <c r="A506" s="1034" t="s">
        <v>339</v>
      </c>
      <c r="B506" s="1035" t="s">
        <v>339</v>
      </c>
      <c r="C506" s="1035" t="s">
        <v>349</v>
      </c>
      <c r="D506" s="1035" t="s">
        <v>350</v>
      </c>
      <c r="E506" s="1035" t="s">
        <v>351</v>
      </c>
      <c r="F506" s="1035" t="s">
        <v>352</v>
      </c>
      <c r="G506" s="1093" t="s">
        <v>353</v>
      </c>
      <c r="H506" s="1005"/>
      <c r="I506" s="1005"/>
      <c r="J506" s="1005"/>
      <c r="K506" s="1005"/>
      <c r="L506" s="1005"/>
      <c r="M506" s="1005"/>
    </row>
    <row r="507" spans="1:13">
      <c r="A507" s="2387" t="s">
        <v>772</v>
      </c>
      <c r="B507" s="2388"/>
      <c r="C507" s="2388"/>
      <c r="D507" s="2388"/>
      <c r="E507" s="2388"/>
      <c r="F507" s="2388"/>
      <c r="G507" s="2389"/>
      <c r="H507" s="1005"/>
      <c r="I507" s="1005"/>
      <c r="J507" s="1005"/>
      <c r="K507" s="1005"/>
      <c r="L507" s="1005"/>
      <c r="M507" s="1005"/>
    </row>
    <row r="508" spans="1:13">
      <c r="A508" s="1094">
        <v>1.5</v>
      </c>
      <c r="B508" s="1071">
        <v>1.5</v>
      </c>
      <c r="C508" s="1071">
        <v>2.82</v>
      </c>
      <c r="D508" s="1071">
        <f>B508*C508</f>
        <v>4.2299999999999995</v>
      </c>
      <c r="E508" s="1071"/>
      <c r="F508" s="1071"/>
      <c r="G508" s="1096">
        <f>D508</f>
        <v>4.2299999999999995</v>
      </c>
      <c r="H508" s="1005"/>
      <c r="I508" s="1005"/>
      <c r="J508" s="1005"/>
      <c r="K508" s="1005"/>
      <c r="L508" s="1005"/>
      <c r="M508" s="1005"/>
    </row>
    <row r="509" spans="1:13">
      <c r="A509" s="1094">
        <v>1.5</v>
      </c>
      <c r="B509" s="1071">
        <v>1.5</v>
      </c>
      <c r="C509" s="1071">
        <v>2.2799999999999998</v>
      </c>
      <c r="D509" s="1071">
        <f>B509*C509</f>
        <v>3.42</v>
      </c>
      <c r="E509" s="1071"/>
      <c r="F509" s="1071"/>
      <c r="G509" s="1096">
        <f>D509</f>
        <v>3.42</v>
      </c>
      <c r="H509" s="1005"/>
      <c r="I509" s="1005"/>
      <c r="J509" s="1005"/>
      <c r="K509" s="1005"/>
      <c r="L509" s="1005"/>
      <c r="M509" s="1005"/>
    </row>
    <row r="510" spans="1:13" ht="24">
      <c r="A510" s="1049" t="s">
        <v>834</v>
      </c>
      <c r="B510" s="1071">
        <f>4.75+9.5+4.75</f>
        <v>19</v>
      </c>
      <c r="C510" s="1071">
        <v>0.15</v>
      </c>
      <c r="D510" s="1071">
        <f t="shared" ref="D510:D515" si="18">C510*B510</f>
        <v>2.85</v>
      </c>
      <c r="E510" s="1071"/>
      <c r="F510" s="1071"/>
      <c r="G510" s="1096">
        <f t="shared" ref="G510:G515" si="19">D510-F510</f>
        <v>2.85</v>
      </c>
      <c r="H510" s="1005"/>
      <c r="I510" s="1005"/>
      <c r="J510" s="1005"/>
      <c r="K510" s="1005"/>
      <c r="L510" s="1005"/>
      <c r="M510" s="1005"/>
    </row>
    <row r="511" spans="1:13" ht="36">
      <c r="A511" s="1049" t="s">
        <v>835</v>
      </c>
      <c r="B511" s="1071">
        <f>4.15+4+1.6+3.08+4.5+1.65+5.15+4</f>
        <v>28.129999999999995</v>
      </c>
      <c r="C511" s="1071">
        <v>0.15</v>
      </c>
      <c r="D511" s="1071">
        <f t="shared" si="18"/>
        <v>4.2194999999999991</v>
      </c>
      <c r="E511" s="1071"/>
      <c r="F511" s="1071"/>
      <c r="G511" s="1096">
        <f t="shared" si="19"/>
        <v>4.2194999999999991</v>
      </c>
      <c r="H511" s="1005"/>
      <c r="I511" s="1005"/>
      <c r="J511" s="1005"/>
      <c r="K511" s="1005"/>
      <c r="L511" s="1005"/>
      <c r="M511" s="1005"/>
    </row>
    <row r="512" spans="1:13" ht="24">
      <c r="A512" s="1049" t="s">
        <v>836</v>
      </c>
      <c r="B512" s="1071">
        <f>3.85+3.85+9.8+9.8</f>
        <v>27.3</v>
      </c>
      <c r="C512" s="1071">
        <v>0.15</v>
      </c>
      <c r="D512" s="1071">
        <f t="shared" si="18"/>
        <v>4.0949999999999998</v>
      </c>
      <c r="E512" s="1071"/>
      <c r="F512" s="1071"/>
      <c r="G512" s="1096">
        <f t="shared" si="19"/>
        <v>4.0949999999999998</v>
      </c>
      <c r="H512" s="1005"/>
      <c r="I512" s="1005"/>
      <c r="J512" s="1005"/>
      <c r="K512" s="1005"/>
      <c r="L512" s="1005"/>
      <c r="M512" s="1005"/>
    </row>
    <row r="513" spans="1:13" ht="36">
      <c r="A513" s="1049" t="s">
        <v>837</v>
      </c>
      <c r="B513" s="1071">
        <f>7.8+7.5+17.1+3.35</f>
        <v>35.750000000000007</v>
      </c>
      <c r="C513" s="1071">
        <v>0.15</v>
      </c>
      <c r="D513" s="1071">
        <f t="shared" si="18"/>
        <v>5.3625000000000007</v>
      </c>
      <c r="E513" s="1071"/>
      <c r="F513" s="1071"/>
      <c r="G513" s="1096">
        <f t="shared" si="19"/>
        <v>5.3625000000000007</v>
      </c>
      <c r="H513" s="1005"/>
      <c r="I513" s="1005"/>
      <c r="J513" s="1005"/>
      <c r="K513" s="1005"/>
      <c r="L513" s="1005"/>
      <c r="M513" s="1005"/>
    </row>
    <row r="514" spans="1:13" ht="24">
      <c r="A514" s="1049" t="s">
        <v>838</v>
      </c>
      <c r="B514" s="1071">
        <f>3.35+1.8</f>
        <v>5.15</v>
      </c>
      <c r="C514" s="1071">
        <v>1.28</v>
      </c>
      <c r="D514" s="1071">
        <f t="shared" si="18"/>
        <v>6.5920000000000005</v>
      </c>
      <c r="E514" s="1071"/>
      <c r="F514" s="1071"/>
      <c r="G514" s="1096">
        <f t="shared" si="19"/>
        <v>6.5920000000000005</v>
      </c>
      <c r="H514" s="1005"/>
      <c r="I514" s="1005"/>
      <c r="J514" s="1005"/>
      <c r="K514" s="1005"/>
      <c r="L514" s="1005"/>
      <c r="M514" s="1005"/>
    </row>
    <row r="515" spans="1:13" ht="24">
      <c r="A515" s="1049" t="s">
        <v>839</v>
      </c>
      <c r="B515" s="1071">
        <f>7.8+7.5</f>
        <v>15.3</v>
      </c>
      <c r="C515" s="1071">
        <v>1.28</v>
      </c>
      <c r="D515" s="1071">
        <f t="shared" si="18"/>
        <v>19.584</v>
      </c>
      <c r="E515" s="1071"/>
      <c r="F515" s="1071"/>
      <c r="G515" s="1096">
        <f t="shared" si="19"/>
        <v>19.584</v>
      </c>
      <c r="H515" s="1005"/>
      <c r="I515" s="1005"/>
      <c r="J515" s="1005"/>
      <c r="K515" s="1005"/>
      <c r="L515" s="1005"/>
      <c r="M515" s="1005"/>
    </row>
    <row r="516" spans="1:13">
      <c r="A516" s="2334"/>
      <c r="B516" s="2254"/>
      <c r="C516" s="2254"/>
      <c r="D516" s="2254"/>
      <c r="E516" s="2254"/>
      <c r="F516" s="2254"/>
      <c r="G516" s="2255"/>
      <c r="H516" s="1005"/>
      <c r="I516" s="1005"/>
      <c r="J516" s="1005"/>
      <c r="K516" s="1005"/>
      <c r="L516" s="1005"/>
      <c r="M516" s="1005"/>
    </row>
    <row r="517" spans="1:13">
      <c r="A517" s="2387" t="s">
        <v>782</v>
      </c>
      <c r="B517" s="2388"/>
      <c r="C517" s="2388"/>
      <c r="D517" s="2388"/>
      <c r="E517" s="2388"/>
      <c r="F517" s="2388"/>
      <c r="G517" s="2389"/>
      <c r="H517" s="1005"/>
      <c r="I517" s="1005"/>
      <c r="J517" s="1005"/>
      <c r="K517" s="1005"/>
      <c r="L517" s="1005"/>
      <c r="M517" s="1005"/>
    </row>
    <row r="518" spans="1:13">
      <c r="A518" s="1094">
        <v>4.1500000000000004</v>
      </c>
      <c r="B518" s="1071">
        <v>4.1500000000000004</v>
      </c>
      <c r="C518" s="1071">
        <v>2.2799999999999998</v>
      </c>
      <c r="D518" s="1071">
        <f>C518*B518</f>
        <v>9.4619999999999997</v>
      </c>
      <c r="E518" s="1071"/>
      <c r="F518" s="1071"/>
      <c r="G518" s="1096">
        <f>D518*C518</f>
        <v>21.573359999999997</v>
      </c>
      <c r="H518" s="1005"/>
      <c r="I518" s="1005"/>
      <c r="J518" s="1005"/>
      <c r="K518" s="1005"/>
      <c r="L518" s="1005"/>
      <c r="M518" s="1005"/>
    </row>
    <row r="519" spans="1:13">
      <c r="A519" s="1094">
        <v>1.5</v>
      </c>
      <c r="B519" s="1071">
        <v>1.5</v>
      </c>
      <c r="C519" s="1071">
        <v>4.32</v>
      </c>
      <c r="D519" s="1071">
        <f>B519*C519</f>
        <v>6.48</v>
      </c>
      <c r="E519" s="1071"/>
      <c r="F519" s="1071"/>
      <c r="G519" s="1096">
        <f>D519</f>
        <v>6.48</v>
      </c>
      <c r="H519" s="1005"/>
      <c r="I519" s="1005"/>
      <c r="J519" s="1005"/>
      <c r="K519" s="1005"/>
      <c r="L519" s="1005"/>
      <c r="M519" s="1005"/>
    </row>
    <row r="520" spans="1:13">
      <c r="A520" s="1094">
        <v>3.35</v>
      </c>
      <c r="B520" s="1071">
        <v>3.35</v>
      </c>
      <c r="C520" s="1071">
        <v>4.32</v>
      </c>
      <c r="D520" s="1071">
        <f t="shared" ref="D520:D526" si="20">C520*B520</f>
        <v>14.472000000000001</v>
      </c>
      <c r="E520" s="1071"/>
      <c r="F520" s="1071"/>
      <c r="G520" s="1096">
        <f>D520</f>
        <v>14.472000000000001</v>
      </c>
      <c r="H520" s="1005"/>
      <c r="I520" s="1005"/>
      <c r="J520" s="1005"/>
      <c r="K520" s="1005"/>
      <c r="L520" s="1005"/>
      <c r="M520" s="1005"/>
    </row>
    <row r="521" spans="1:13">
      <c r="A521" s="1094">
        <v>2.35</v>
      </c>
      <c r="B521" s="1071">
        <v>2.35</v>
      </c>
      <c r="C521" s="1071">
        <v>4.32</v>
      </c>
      <c r="D521" s="1071">
        <f t="shared" si="20"/>
        <v>10.152000000000001</v>
      </c>
      <c r="E521" s="1095" t="s">
        <v>790</v>
      </c>
      <c r="F521" s="1071">
        <f>2.2*1.1</f>
        <v>2.4200000000000004</v>
      </c>
      <c r="G521" s="1096">
        <f>D521-F521</f>
        <v>7.7320000000000011</v>
      </c>
      <c r="H521" s="1005"/>
      <c r="I521" s="1005"/>
      <c r="J521" s="1005"/>
      <c r="K521" s="1005"/>
      <c r="L521" s="1005"/>
      <c r="M521" s="1005"/>
    </row>
    <row r="522" spans="1:13">
      <c r="A522" s="1094">
        <v>4.1500000000000004</v>
      </c>
      <c r="B522" s="1071">
        <v>4.1500000000000004</v>
      </c>
      <c r="C522" s="1071">
        <v>1.27</v>
      </c>
      <c r="D522" s="1071">
        <f t="shared" si="20"/>
        <v>5.2705000000000002</v>
      </c>
      <c r="E522" s="1071"/>
      <c r="F522" s="1071"/>
      <c r="G522" s="1096">
        <f>D522</f>
        <v>5.2705000000000002</v>
      </c>
      <c r="H522" s="1005"/>
      <c r="I522" s="1005"/>
      <c r="J522" s="1005"/>
      <c r="K522" s="1005"/>
      <c r="L522" s="1005"/>
      <c r="M522" s="1005"/>
    </row>
    <row r="523" spans="1:13">
      <c r="A523" s="1049" t="s">
        <v>840</v>
      </c>
      <c r="B523" s="1071">
        <v>4.1500000000000004</v>
      </c>
      <c r="C523" s="1071">
        <v>1.27</v>
      </c>
      <c r="D523" s="1071">
        <f t="shared" si="20"/>
        <v>5.2705000000000002</v>
      </c>
      <c r="E523" s="1071"/>
      <c r="F523" s="1071"/>
      <c r="G523" s="1096">
        <f>D523</f>
        <v>5.2705000000000002</v>
      </c>
      <c r="H523" s="1005"/>
      <c r="I523" s="1005"/>
      <c r="J523" s="1005"/>
      <c r="K523" s="1005"/>
      <c r="L523" s="1005"/>
      <c r="M523" s="1005"/>
    </row>
    <row r="524" spans="1:13" ht="24">
      <c r="A524" s="1049" t="s">
        <v>841</v>
      </c>
      <c r="B524" s="1071">
        <f>4.45+4.6+4.6</f>
        <v>13.65</v>
      </c>
      <c r="C524" s="1071">
        <v>1.78</v>
      </c>
      <c r="D524" s="1071">
        <f t="shared" si="20"/>
        <v>24.297000000000001</v>
      </c>
      <c r="E524" s="1071"/>
      <c r="F524" s="1071"/>
      <c r="G524" s="1096">
        <f>D524</f>
        <v>24.297000000000001</v>
      </c>
      <c r="H524" s="1005"/>
      <c r="I524" s="1005"/>
      <c r="J524" s="1005"/>
      <c r="K524" s="1005"/>
      <c r="L524" s="1005"/>
      <c r="M524" s="1005"/>
    </row>
    <row r="525" spans="1:13">
      <c r="A525" s="1049" t="s">
        <v>842</v>
      </c>
      <c r="B525" s="1071">
        <v>2.5</v>
      </c>
      <c r="C525" s="1071">
        <v>2.2799999999999998</v>
      </c>
      <c r="D525" s="1071">
        <f t="shared" si="20"/>
        <v>5.6999999999999993</v>
      </c>
      <c r="E525" s="1071"/>
      <c r="F525" s="1071"/>
      <c r="G525" s="1096">
        <f>D525</f>
        <v>5.6999999999999993</v>
      </c>
      <c r="H525" s="1005"/>
      <c r="I525" s="1005"/>
      <c r="J525" s="1005"/>
      <c r="K525" s="1005"/>
      <c r="L525" s="1005"/>
      <c r="M525" s="1005"/>
    </row>
    <row r="526" spans="1:13" ht="24">
      <c r="A526" s="1049" t="s">
        <v>843</v>
      </c>
      <c r="B526" s="1071">
        <f>3.85+3.85</f>
        <v>7.7</v>
      </c>
      <c r="C526" s="1071">
        <v>2.2799999999999998</v>
      </c>
      <c r="D526" s="1071">
        <f t="shared" si="20"/>
        <v>17.555999999999997</v>
      </c>
      <c r="E526" s="1071"/>
      <c r="F526" s="1071"/>
      <c r="G526" s="1096">
        <f>D526</f>
        <v>17.555999999999997</v>
      </c>
      <c r="H526" s="1005"/>
      <c r="I526" s="1005"/>
      <c r="J526" s="1005"/>
      <c r="K526" s="1005"/>
      <c r="L526" s="1005"/>
      <c r="M526" s="1005"/>
    </row>
    <row r="527" spans="1:13" ht="24">
      <c r="A527" s="1154" t="s">
        <v>844</v>
      </c>
      <c r="B527" s="1155">
        <v>4.5999999999999996</v>
      </c>
      <c r="C527" s="1132">
        <v>1.93</v>
      </c>
      <c r="D527" s="1132">
        <f>B527*C527</f>
        <v>8.8779999999999983</v>
      </c>
      <c r="E527" s="1132"/>
      <c r="F527" s="1132"/>
      <c r="G527" s="1157">
        <f>D527-F527</f>
        <v>8.8779999999999983</v>
      </c>
      <c r="H527" s="1005"/>
      <c r="I527" s="1005"/>
      <c r="J527" s="1005"/>
      <c r="K527" s="1005"/>
      <c r="L527" s="1005"/>
      <c r="M527" s="1005"/>
    </row>
    <row r="528" spans="1:13">
      <c r="A528" s="2334"/>
      <c r="B528" s="2254"/>
      <c r="C528" s="2254"/>
      <c r="D528" s="2254"/>
      <c r="E528" s="2254"/>
      <c r="F528" s="2254"/>
      <c r="G528" s="2255"/>
      <c r="H528" s="1005"/>
      <c r="I528" s="1005"/>
      <c r="J528" s="1005"/>
      <c r="K528" s="1005"/>
      <c r="L528" s="1005"/>
      <c r="M528" s="1005"/>
    </row>
    <row r="529" spans="1:13">
      <c r="A529" s="2387" t="s">
        <v>800</v>
      </c>
      <c r="B529" s="2388"/>
      <c r="C529" s="2388"/>
      <c r="D529" s="2388"/>
      <c r="E529" s="2388"/>
      <c r="F529" s="2388"/>
      <c r="G529" s="2389"/>
      <c r="H529" s="1005"/>
      <c r="I529" s="1005"/>
      <c r="J529" s="1005"/>
      <c r="K529" s="1005"/>
      <c r="L529" s="1005"/>
      <c r="M529" s="1005"/>
    </row>
    <row r="530" spans="1:13" ht="36">
      <c r="A530" s="1049" t="s">
        <v>845</v>
      </c>
      <c r="B530" s="1071">
        <f>3.65+4.8</f>
        <v>8.4499999999999993</v>
      </c>
      <c r="C530" s="1071">
        <v>4.32</v>
      </c>
      <c r="D530" s="1071">
        <f>B530*C530</f>
        <v>36.503999999999998</v>
      </c>
      <c r="E530" s="1095" t="s">
        <v>846</v>
      </c>
      <c r="F530" s="1071">
        <f>(2.2*1.1)+(2.3+1.1)</f>
        <v>5.82</v>
      </c>
      <c r="G530" s="1096">
        <f>D530-F530</f>
        <v>30.683999999999997</v>
      </c>
      <c r="H530" s="1005"/>
      <c r="I530" s="1005"/>
      <c r="J530" s="1005"/>
      <c r="K530" s="1005"/>
      <c r="L530" s="1005"/>
      <c r="M530" s="1005"/>
    </row>
    <row r="531" spans="1:13" ht="24">
      <c r="A531" s="1049" t="s">
        <v>847</v>
      </c>
      <c r="B531" s="1100">
        <f>9.8+4.15</f>
        <v>13.950000000000001</v>
      </c>
      <c r="C531" s="1071">
        <v>2.82</v>
      </c>
      <c r="D531" s="1071">
        <f>B531*C531</f>
        <v>39.338999999999999</v>
      </c>
      <c r="E531" s="1095" t="s">
        <v>848</v>
      </c>
      <c r="F531" s="1071">
        <f>1.1*0.6*6</f>
        <v>3.96</v>
      </c>
      <c r="G531" s="1096">
        <f>D531-F531</f>
        <v>35.378999999999998</v>
      </c>
      <c r="H531" s="1005"/>
      <c r="I531" s="1005"/>
      <c r="J531" s="1005"/>
      <c r="K531" s="1005"/>
      <c r="L531" s="1005"/>
      <c r="M531" s="1005"/>
    </row>
    <row r="532" spans="1:13">
      <c r="A532" s="1094">
        <v>9.8000000000000007</v>
      </c>
      <c r="B532" s="1153">
        <v>9.8000000000000007</v>
      </c>
      <c r="C532" s="1071">
        <v>2.2799999999999998</v>
      </c>
      <c r="D532" s="1071">
        <f>C532*B532</f>
        <v>22.344000000000001</v>
      </c>
      <c r="E532" s="1071"/>
      <c r="F532" s="1071"/>
      <c r="G532" s="1096">
        <f>D532</f>
        <v>22.344000000000001</v>
      </c>
      <c r="H532" s="1005"/>
      <c r="I532" s="1005"/>
      <c r="J532" s="1005"/>
      <c r="K532" s="1005"/>
      <c r="L532" s="1005"/>
      <c r="M532" s="1005"/>
    </row>
    <row r="533" spans="1:13" ht="60">
      <c r="A533" s="1049" t="s">
        <v>849</v>
      </c>
      <c r="B533" s="1153">
        <f>7.8+7.8+17.25</f>
        <v>32.85</v>
      </c>
      <c r="C533" s="1071">
        <v>4.32</v>
      </c>
      <c r="D533" s="1071">
        <f>B533*C533</f>
        <v>141.91200000000001</v>
      </c>
      <c r="E533" s="1095" t="s">
        <v>850</v>
      </c>
      <c r="F533" s="1071">
        <f>((2.3*1.1)*3)+((1.1*0.6)*2)+(1.6*2.1)</f>
        <v>12.27</v>
      </c>
      <c r="G533" s="1096">
        <f>D533-F533</f>
        <v>129.642</v>
      </c>
      <c r="H533" s="1005"/>
      <c r="I533" s="1005"/>
      <c r="J533" s="1005"/>
      <c r="K533" s="1005"/>
      <c r="L533" s="1005"/>
      <c r="M533" s="1005"/>
    </row>
    <row r="534" spans="1:13">
      <c r="A534" s="1094">
        <v>5.15</v>
      </c>
      <c r="B534" s="1153">
        <v>5.15</v>
      </c>
      <c r="C534" s="1071">
        <v>4.2699999999999996</v>
      </c>
      <c r="D534" s="1071">
        <f>B534*C534</f>
        <v>21.990500000000001</v>
      </c>
      <c r="E534" s="1071"/>
      <c r="F534" s="1071"/>
      <c r="G534" s="1096">
        <f>D534</f>
        <v>21.990500000000001</v>
      </c>
      <c r="H534" s="1005"/>
      <c r="I534" s="1005"/>
      <c r="J534" s="1005"/>
      <c r="K534" s="1005"/>
      <c r="L534" s="1005"/>
      <c r="M534" s="1005"/>
    </row>
    <row r="535" spans="1:13" ht="24">
      <c r="A535" s="1094">
        <v>4.1500000000000004</v>
      </c>
      <c r="B535" s="1153">
        <v>4.1500000000000004</v>
      </c>
      <c r="C535" s="1071">
        <v>2.84</v>
      </c>
      <c r="D535" s="1071">
        <f>B535*C535</f>
        <v>11.786</v>
      </c>
      <c r="E535" s="1095" t="s">
        <v>851</v>
      </c>
      <c r="F535" s="1071">
        <f>(1.3*2.1)+(2.3*1.1)</f>
        <v>5.26</v>
      </c>
      <c r="G535" s="1096">
        <f>D535-F535</f>
        <v>6.5259999999999998</v>
      </c>
      <c r="H535" s="1005"/>
      <c r="I535" s="1005"/>
      <c r="J535" s="1005"/>
      <c r="K535" s="1005"/>
      <c r="L535" s="1005"/>
      <c r="M535" s="1005"/>
    </row>
    <row r="536" spans="1:13">
      <c r="A536" s="1049" t="s">
        <v>852</v>
      </c>
      <c r="B536" s="1071">
        <v>7.5</v>
      </c>
      <c r="C536" s="1071">
        <v>1.78</v>
      </c>
      <c r="D536" s="1071">
        <f>C536*B536</f>
        <v>13.35</v>
      </c>
      <c r="E536" s="1071"/>
      <c r="F536" s="1071"/>
      <c r="G536" s="1096">
        <f>D536-F536</f>
        <v>13.35</v>
      </c>
      <c r="H536" s="1005"/>
      <c r="I536" s="1005"/>
      <c r="J536" s="1005"/>
      <c r="K536" s="1005"/>
      <c r="L536" s="1005"/>
      <c r="M536" s="1005"/>
    </row>
    <row r="537" spans="1:13">
      <c r="A537" s="1049" t="s">
        <v>853</v>
      </c>
      <c r="B537" s="1071">
        <v>16.95</v>
      </c>
      <c r="C537" s="1071">
        <v>1.28</v>
      </c>
      <c r="D537" s="1071">
        <f>C537*B537</f>
        <v>21.695999999999998</v>
      </c>
      <c r="E537" s="1071"/>
      <c r="F537" s="1071"/>
      <c r="G537" s="1096">
        <f>D537-F537</f>
        <v>21.695999999999998</v>
      </c>
      <c r="H537" s="1005"/>
      <c r="I537" s="1005"/>
      <c r="J537" s="1005"/>
      <c r="K537" s="1005"/>
      <c r="L537" s="1005"/>
      <c r="M537" s="1005"/>
    </row>
    <row r="538" spans="1:13" ht="24">
      <c r="A538" s="1049" t="s">
        <v>854</v>
      </c>
      <c r="B538" s="1071">
        <f>9.5+9.5+9.5</f>
        <v>28.5</v>
      </c>
      <c r="C538" s="1071">
        <v>2.2799999999999998</v>
      </c>
      <c r="D538" s="1071">
        <f>C538*B538</f>
        <v>64.97999999999999</v>
      </c>
      <c r="E538" s="1071"/>
      <c r="F538" s="1071"/>
      <c r="G538" s="1096">
        <f>D538-F538</f>
        <v>64.97999999999999</v>
      </c>
      <c r="H538" s="1005"/>
      <c r="I538" s="1005"/>
      <c r="J538" s="1005"/>
      <c r="K538" s="1005"/>
      <c r="L538" s="1005"/>
      <c r="M538" s="1005"/>
    </row>
    <row r="539" spans="1:13">
      <c r="A539" s="2334"/>
      <c r="B539" s="2254"/>
      <c r="C539" s="2254"/>
      <c r="D539" s="2254"/>
      <c r="E539" s="2254"/>
      <c r="F539" s="2254"/>
      <c r="G539" s="2255"/>
      <c r="H539" s="1005"/>
      <c r="I539" s="1005"/>
      <c r="J539" s="1005"/>
      <c r="K539" s="1005"/>
      <c r="L539" s="1005"/>
      <c r="M539" s="1005"/>
    </row>
    <row r="540" spans="1:13">
      <c r="A540" s="2271" t="s">
        <v>2153</v>
      </c>
      <c r="B540" s="2274"/>
      <c r="C540" s="2274"/>
      <c r="D540" s="2274"/>
      <c r="E540" s="2274"/>
      <c r="F540" s="2274"/>
      <c r="G540" s="2275"/>
      <c r="H540" s="1005"/>
      <c r="I540" s="1181"/>
      <c r="J540" s="1181"/>
      <c r="K540" s="1005"/>
      <c r="L540" s="1005"/>
      <c r="M540" s="1005"/>
    </row>
    <row r="541" spans="1:13">
      <c r="A541" s="2375"/>
      <c r="B541" s="2376"/>
      <c r="C541" s="2381" t="s">
        <v>772</v>
      </c>
      <c r="D541" s="2382"/>
      <c r="E541" s="2382"/>
      <c r="F541" s="2383"/>
      <c r="G541" s="1096"/>
      <c r="H541" s="1005"/>
      <c r="I541" s="1005"/>
      <c r="J541" s="1005"/>
      <c r="K541" s="1005"/>
      <c r="L541" s="1005"/>
      <c r="M541" s="1005"/>
    </row>
    <row r="542" spans="1:13">
      <c r="A542" s="2377"/>
      <c r="B542" s="2378"/>
      <c r="C542" s="2384" t="s">
        <v>324</v>
      </c>
      <c r="D542" s="2385"/>
      <c r="E542" s="2385"/>
      <c r="F542" s="2386"/>
      <c r="G542" s="1159">
        <f>ROUNDUP(G508+G509+G510+G511+G512+G513+G514+G515,2)</f>
        <v>50.36</v>
      </c>
      <c r="H542" s="1005"/>
      <c r="I542" s="1005"/>
      <c r="J542" s="1005"/>
      <c r="K542" s="1005"/>
      <c r="L542" s="1005"/>
      <c r="M542" s="1005"/>
    </row>
    <row r="543" spans="1:13">
      <c r="A543" s="2377"/>
      <c r="B543" s="2378"/>
      <c r="C543" s="2381" t="s">
        <v>782</v>
      </c>
      <c r="D543" s="2382"/>
      <c r="E543" s="2382"/>
      <c r="F543" s="2383"/>
      <c r="G543" s="1160"/>
      <c r="H543" s="1005"/>
      <c r="I543" s="1005"/>
      <c r="J543" s="1005"/>
      <c r="K543" s="1005"/>
      <c r="L543" s="1005"/>
      <c r="M543" s="1005"/>
    </row>
    <row r="544" spans="1:13">
      <c r="A544" s="2377"/>
      <c r="B544" s="2378"/>
      <c r="C544" s="2384" t="s">
        <v>324</v>
      </c>
      <c r="D544" s="2385"/>
      <c r="E544" s="2385"/>
      <c r="F544" s="2386"/>
      <c r="G544" s="1159">
        <f>ROUNDUP(G518+G519+G520+G521+G522+G523+G524+G525+G526+G527,2)</f>
        <v>117.23</v>
      </c>
      <c r="H544" s="1005"/>
      <c r="I544" s="1005"/>
      <c r="J544" s="1005"/>
      <c r="K544" s="1005"/>
      <c r="L544" s="1005"/>
      <c r="M544" s="1005"/>
    </row>
    <row r="545" spans="1:13">
      <c r="A545" s="2377"/>
      <c r="B545" s="2378"/>
      <c r="C545" s="2381" t="s">
        <v>800</v>
      </c>
      <c r="D545" s="2382"/>
      <c r="E545" s="2382"/>
      <c r="F545" s="2383"/>
      <c r="G545" s="1160"/>
      <c r="H545" s="1005"/>
      <c r="I545" s="1005"/>
      <c r="J545" s="1005"/>
      <c r="K545" s="1005"/>
      <c r="L545" s="1005"/>
      <c r="M545" s="1005"/>
    </row>
    <row r="546" spans="1:13">
      <c r="A546" s="2379"/>
      <c r="B546" s="2380"/>
      <c r="C546" s="2384" t="s">
        <v>324</v>
      </c>
      <c r="D546" s="2385"/>
      <c r="E546" s="2385"/>
      <c r="F546" s="2386"/>
      <c r="G546" s="1159">
        <f>ROUNDUP(G530+G531+G532+G533+G534+G535+G536+G537+G538,2)</f>
        <v>346.59999999999997</v>
      </c>
      <c r="H546" s="1005"/>
      <c r="I546" s="1005"/>
      <c r="J546" s="1005"/>
      <c r="K546" s="1005"/>
      <c r="L546" s="1005"/>
      <c r="M546" s="1005"/>
    </row>
    <row r="547" spans="1:13" ht="15.75" thickBot="1">
      <c r="A547" s="2372" t="s">
        <v>357</v>
      </c>
      <c r="B547" s="2373"/>
      <c r="C547" s="2373"/>
      <c r="D547" s="2373"/>
      <c r="E547" s="2373"/>
      <c r="F547" s="2374"/>
      <c r="G547" s="1180">
        <f>ROUNDUP(G542+G544+G546,2)</f>
        <v>514.19000000000005</v>
      </c>
      <c r="H547" s="1005"/>
      <c r="I547" s="1005"/>
      <c r="J547" s="1005"/>
      <c r="K547" s="1005"/>
      <c r="L547" s="1005"/>
      <c r="M547" s="1005"/>
    </row>
    <row r="548" spans="1:13" ht="15.75" thickBot="1">
      <c r="A548" s="1177"/>
      <c r="B548" s="1178"/>
      <c r="C548" s="1178"/>
      <c r="D548" s="1178"/>
      <c r="E548" s="1178"/>
      <c r="F548" s="1178"/>
      <c r="G548" s="1179"/>
      <c r="H548" s="1005"/>
      <c r="I548" s="1005"/>
      <c r="J548" s="1005"/>
      <c r="K548" s="1005"/>
      <c r="L548" s="1005"/>
      <c r="M548" s="1005"/>
    </row>
    <row r="549" spans="1:13" ht="15.75" thickBot="1">
      <c r="A549" s="1019" t="s">
        <v>118</v>
      </c>
      <c r="B549" s="2262" t="s">
        <v>855</v>
      </c>
      <c r="C549" s="2263"/>
      <c r="D549" s="2263"/>
      <c r="E549" s="2263"/>
      <c r="F549" s="2263"/>
      <c r="G549" s="2264"/>
      <c r="H549" s="1005"/>
      <c r="I549" s="1005"/>
      <c r="J549" s="1005"/>
      <c r="K549" s="1005"/>
      <c r="L549" s="1005"/>
      <c r="M549" s="1005"/>
    </row>
    <row r="550" spans="1:13">
      <c r="A550" s="2265" t="s">
        <v>320</v>
      </c>
      <c r="B550" s="2266"/>
      <c r="C550" s="2266"/>
      <c r="D550" s="2266"/>
      <c r="E550" s="2266"/>
      <c r="F550" s="2266"/>
      <c r="G550" s="2267"/>
      <c r="H550" s="1005"/>
      <c r="I550" s="1005"/>
      <c r="J550" s="1005"/>
      <c r="K550" s="1005"/>
      <c r="L550" s="1005"/>
      <c r="M550" s="1005"/>
    </row>
    <row r="551" spans="1:13">
      <c r="A551" s="2419" t="s">
        <v>402</v>
      </c>
      <c r="B551" s="2420"/>
      <c r="C551" s="2420"/>
      <c r="D551" s="2420"/>
      <c r="E551" s="2420"/>
      <c r="F551" s="2420"/>
      <c r="G551" s="2421"/>
      <c r="H551" s="1005"/>
      <c r="I551" s="1005"/>
      <c r="J551" s="1005"/>
      <c r="K551" s="1005"/>
      <c r="L551" s="1005"/>
      <c r="M551" s="1005"/>
    </row>
    <row r="552" spans="1:13">
      <c r="A552" s="1034" t="s">
        <v>339</v>
      </c>
      <c r="B552" s="1035" t="s">
        <v>339</v>
      </c>
      <c r="C552" s="1035" t="s">
        <v>349</v>
      </c>
      <c r="D552" s="1035" t="s">
        <v>350</v>
      </c>
      <c r="E552" s="1035" t="s">
        <v>351</v>
      </c>
      <c r="F552" s="1035" t="s">
        <v>352</v>
      </c>
      <c r="G552" s="1093" t="s">
        <v>353</v>
      </c>
      <c r="H552" s="1005"/>
      <c r="I552" s="1005"/>
      <c r="J552" s="1005"/>
      <c r="K552" s="1005"/>
      <c r="L552" s="1005"/>
      <c r="M552" s="1005"/>
    </row>
    <row r="553" spans="1:13">
      <c r="A553" s="2387" t="s">
        <v>772</v>
      </c>
      <c r="B553" s="2388"/>
      <c r="C553" s="2388"/>
      <c r="D553" s="2388"/>
      <c r="E553" s="2388"/>
      <c r="F553" s="2388"/>
      <c r="G553" s="2389"/>
      <c r="H553" s="1005"/>
      <c r="I553" s="1005"/>
      <c r="J553" s="1005"/>
      <c r="K553" s="1005"/>
      <c r="L553" s="1005"/>
      <c r="M553" s="1005"/>
    </row>
    <row r="554" spans="1:13">
      <c r="A554" s="1094">
        <v>1.5</v>
      </c>
      <c r="B554" s="1071">
        <v>1.5</v>
      </c>
      <c r="C554" s="1071">
        <v>2.82</v>
      </c>
      <c r="D554" s="1071">
        <f>B554*C554</f>
        <v>4.2299999999999995</v>
      </c>
      <c r="E554" s="1071"/>
      <c r="F554" s="1071"/>
      <c r="G554" s="1096">
        <f>D554</f>
        <v>4.2299999999999995</v>
      </c>
      <c r="H554" s="1005"/>
      <c r="I554" s="1005"/>
      <c r="J554" s="1005"/>
      <c r="K554" s="1005"/>
      <c r="L554" s="1005"/>
      <c r="M554" s="1005"/>
    </row>
    <row r="555" spans="1:13">
      <c r="A555" s="1094">
        <v>1.5</v>
      </c>
      <c r="B555" s="1071">
        <v>1.5</v>
      </c>
      <c r="C555" s="1071">
        <v>2.2799999999999998</v>
      </c>
      <c r="D555" s="1071">
        <f>B555*C555</f>
        <v>3.42</v>
      </c>
      <c r="E555" s="1071"/>
      <c r="F555" s="1071"/>
      <c r="G555" s="1096">
        <f>D555</f>
        <v>3.42</v>
      </c>
      <c r="H555" s="1005"/>
      <c r="I555" s="1005"/>
      <c r="J555" s="1005"/>
      <c r="K555" s="1005"/>
      <c r="L555" s="1005"/>
      <c r="M555" s="1005"/>
    </row>
    <row r="556" spans="1:13">
      <c r="A556" s="2334"/>
      <c r="B556" s="2254"/>
      <c r="C556" s="2254"/>
      <c r="D556" s="2254"/>
      <c r="E556" s="2254"/>
      <c r="F556" s="2254"/>
      <c r="G556" s="2255"/>
      <c r="H556" s="1005"/>
      <c r="I556" s="1005"/>
      <c r="J556" s="1005"/>
      <c r="K556" s="1005"/>
      <c r="L556" s="1005"/>
      <c r="M556" s="1005"/>
    </row>
    <row r="557" spans="1:13">
      <c r="A557" s="2387" t="s">
        <v>782</v>
      </c>
      <c r="B557" s="2388"/>
      <c r="C557" s="2388"/>
      <c r="D557" s="2388"/>
      <c r="E557" s="2388"/>
      <c r="F557" s="2388"/>
      <c r="G557" s="2389"/>
      <c r="H557" s="1005"/>
      <c r="I557" s="1005"/>
      <c r="J557" s="1005"/>
      <c r="K557" s="1005"/>
      <c r="L557" s="1005"/>
      <c r="M557" s="1005"/>
    </row>
    <row r="558" spans="1:13">
      <c r="A558" s="1094">
        <v>1.5</v>
      </c>
      <c r="B558" s="1071">
        <v>1.5</v>
      </c>
      <c r="C558" s="1071">
        <v>4.32</v>
      </c>
      <c r="D558" s="1071">
        <f>B558*C558</f>
        <v>6.48</v>
      </c>
      <c r="E558" s="1071"/>
      <c r="F558" s="1071"/>
      <c r="G558" s="1096">
        <f>D558</f>
        <v>6.48</v>
      </c>
      <c r="H558" s="1005"/>
      <c r="I558" s="1005"/>
      <c r="J558" s="1005"/>
      <c r="K558" s="1005"/>
      <c r="L558" s="1005"/>
      <c r="M558" s="1005"/>
    </row>
    <row r="559" spans="1:13">
      <c r="A559" s="1049" t="s">
        <v>842</v>
      </c>
      <c r="B559" s="1071">
        <v>2.5</v>
      </c>
      <c r="C559" s="1071">
        <v>2.2799999999999998</v>
      </c>
      <c r="D559" s="1071">
        <f>C559*B559</f>
        <v>5.6999999999999993</v>
      </c>
      <c r="E559" s="1071"/>
      <c r="F559" s="1071"/>
      <c r="G559" s="1096">
        <f>D559-F559</f>
        <v>5.6999999999999993</v>
      </c>
      <c r="H559" s="1005"/>
      <c r="I559" s="1005"/>
      <c r="J559" s="1005"/>
      <c r="K559" s="1005"/>
      <c r="L559" s="1005"/>
      <c r="M559" s="1005"/>
    </row>
    <row r="560" spans="1:13">
      <c r="A560" s="2334"/>
      <c r="B560" s="2254"/>
      <c r="C560" s="2254"/>
      <c r="D560" s="2254"/>
      <c r="E560" s="2254"/>
      <c r="F560" s="2254"/>
      <c r="G560" s="2255"/>
      <c r="H560" s="1005"/>
      <c r="I560" s="1005"/>
      <c r="J560" s="1005"/>
      <c r="K560" s="1005"/>
      <c r="L560" s="1005"/>
      <c r="M560" s="1005"/>
    </row>
    <row r="561" spans="1:13">
      <c r="A561" s="2387" t="s">
        <v>800</v>
      </c>
      <c r="B561" s="2388"/>
      <c r="C561" s="2388"/>
      <c r="D561" s="2388"/>
      <c r="E561" s="2388"/>
      <c r="F561" s="2388"/>
      <c r="G561" s="2389"/>
      <c r="H561" s="1005"/>
      <c r="I561" s="1005"/>
      <c r="J561" s="1005"/>
      <c r="K561" s="1005"/>
      <c r="L561" s="1005"/>
      <c r="M561" s="1005"/>
    </row>
    <row r="562" spans="1:13" ht="36">
      <c r="A562" s="1049" t="s">
        <v>845</v>
      </c>
      <c r="B562" s="1071">
        <f>3.65+4.8</f>
        <v>8.4499999999999993</v>
      </c>
      <c r="C562" s="1071">
        <v>4.32</v>
      </c>
      <c r="D562" s="1071">
        <f>B562*C562</f>
        <v>36.503999999999998</v>
      </c>
      <c r="E562" s="1095" t="s">
        <v>846</v>
      </c>
      <c r="F562" s="1071">
        <f>(2.2*1.1)+(2.3+1.1)</f>
        <v>5.82</v>
      </c>
      <c r="G562" s="1096">
        <f>D562-F562</f>
        <v>30.683999999999997</v>
      </c>
      <c r="H562" s="1005"/>
      <c r="I562" s="1005"/>
      <c r="J562" s="1005"/>
      <c r="K562" s="1005"/>
      <c r="L562" s="1005"/>
      <c r="M562" s="1005"/>
    </row>
    <row r="563" spans="1:13" ht="24">
      <c r="A563" s="1049" t="s">
        <v>847</v>
      </c>
      <c r="B563" s="1100">
        <f>9.8+4.15</f>
        <v>13.950000000000001</v>
      </c>
      <c r="C563" s="1071">
        <v>2.82</v>
      </c>
      <c r="D563" s="1071">
        <f>B563*C563</f>
        <v>39.338999999999999</v>
      </c>
      <c r="E563" s="1095" t="s">
        <v>848</v>
      </c>
      <c r="F563" s="1071">
        <f>1.1*0.6*6</f>
        <v>3.96</v>
      </c>
      <c r="G563" s="1096">
        <f>D563-F563</f>
        <v>35.378999999999998</v>
      </c>
      <c r="H563" s="1005"/>
      <c r="I563" s="1005"/>
      <c r="J563" s="1005"/>
      <c r="K563" s="1005"/>
      <c r="L563" s="1005"/>
      <c r="M563" s="1005"/>
    </row>
    <row r="564" spans="1:13">
      <c r="A564" s="1094">
        <v>9.8000000000000007</v>
      </c>
      <c r="B564" s="1153">
        <v>9.8000000000000007</v>
      </c>
      <c r="C564" s="1071">
        <v>2.2799999999999998</v>
      </c>
      <c r="D564" s="1071">
        <f>C564*B564</f>
        <v>22.344000000000001</v>
      </c>
      <c r="E564" s="1071"/>
      <c r="F564" s="1071"/>
      <c r="G564" s="1096">
        <f>D564-F564</f>
        <v>22.344000000000001</v>
      </c>
      <c r="H564" s="1005"/>
      <c r="I564" s="1005"/>
      <c r="J564" s="1005"/>
      <c r="K564" s="1005"/>
      <c r="L564" s="1005"/>
      <c r="M564" s="1005"/>
    </row>
    <row r="565" spans="1:13">
      <c r="A565" s="2334"/>
      <c r="B565" s="2254"/>
      <c r="C565" s="2254"/>
      <c r="D565" s="2254"/>
      <c r="E565" s="2254"/>
      <c r="F565" s="2254"/>
      <c r="G565" s="2255"/>
      <c r="H565" s="1005"/>
      <c r="I565" s="1005"/>
      <c r="J565" s="1005"/>
      <c r="K565" s="1005"/>
      <c r="L565" s="1005"/>
      <c r="M565" s="1005"/>
    </row>
    <row r="566" spans="1:13">
      <c r="A566" s="2271" t="s">
        <v>813</v>
      </c>
      <c r="B566" s="2274"/>
      <c r="C566" s="2274"/>
      <c r="D566" s="2274"/>
      <c r="E566" s="2274"/>
      <c r="F566" s="2274"/>
      <c r="G566" s="2275"/>
      <c r="H566" s="1005"/>
      <c r="I566" s="1005"/>
      <c r="J566" s="1005"/>
      <c r="K566" s="1005"/>
      <c r="L566" s="1005"/>
      <c r="M566" s="1005"/>
    </row>
    <row r="567" spans="1:13">
      <c r="A567" s="2375"/>
      <c r="B567" s="2376"/>
      <c r="C567" s="2381" t="s">
        <v>772</v>
      </c>
      <c r="D567" s="2382"/>
      <c r="E567" s="2382"/>
      <c r="F567" s="2383"/>
      <c r="G567" s="1096"/>
      <c r="H567" s="1005"/>
      <c r="I567" s="1005"/>
      <c r="J567" s="1005"/>
      <c r="K567" s="1005"/>
      <c r="L567" s="1005"/>
      <c r="M567" s="1005"/>
    </row>
    <row r="568" spans="1:13">
      <c r="A568" s="2377"/>
      <c r="B568" s="2378"/>
      <c r="C568" s="2384" t="s">
        <v>324</v>
      </c>
      <c r="D568" s="2385"/>
      <c r="E568" s="2385"/>
      <c r="F568" s="2386"/>
      <c r="G568" s="1159">
        <f>ROUNDUP(G554+G555,2)</f>
        <v>7.65</v>
      </c>
      <c r="H568" s="1005"/>
      <c r="I568" s="1005"/>
      <c r="J568" s="1005"/>
      <c r="K568" s="1005"/>
      <c r="L568" s="1005"/>
      <c r="M568" s="1005"/>
    </row>
    <row r="569" spans="1:13">
      <c r="A569" s="2377"/>
      <c r="B569" s="2378"/>
      <c r="C569" s="2381" t="s">
        <v>782</v>
      </c>
      <c r="D569" s="2382"/>
      <c r="E569" s="2382"/>
      <c r="F569" s="2383"/>
      <c r="G569" s="1160"/>
      <c r="H569" s="1005"/>
      <c r="I569" s="1005"/>
      <c r="J569" s="1005"/>
      <c r="K569" s="1005"/>
      <c r="L569" s="1005"/>
      <c r="M569" s="1005"/>
    </row>
    <row r="570" spans="1:13">
      <c r="A570" s="2377"/>
      <c r="B570" s="2378"/>
      <c r="C570" s="2384" t="s">
        <v>324</v>
      </c>
      <c r="D570" s="2385"/>
      <c r="E570" s="2385"/>
      <c r="F570" s="2386"/>
      <c r="G570" s="1159">
        <f>ROUNDUP(G558+G559,2)</f>
        <v>12.18</v>
      </c>
      <c r="H570" s="1005"/>
      <c r="I570" s="1005"/>
      <c r="J570" s="1005"/>
      <c r="K570" s="1005"/>
      <c r="L570" s="1005"/>
      <c r="M570" s="1005"/>
    </row>
    <row r="571" spans="1:13">
      <c r="A571" s="2377"/>
      <c r="B571" s="2378"/>
      <c r="C571" s="2381" t="s">
        <v>800</v>
      </c>
      <c r="D571" s="2382"/>
      <c r="E571" s="2382"/>
      <c r="F571" s="2383"/>
      <c r="G571" s="1160"/>
      <c r="H571" s="1005"/>
      <c r="I571" s="1005"/>
      <c r="J571" s="1005"/>
      <c r="K571" s="1005"/>
      <c r="L571" s="1005"/>
      <c r="M571" s="1005"/>
    </row>
    <row r="572" spans="1:13">
      <c r="A572" s="2379"/>
      <c r="B572" s="2380"/>
      <c r="C572" s="2384" t="s">
        <v>324</v>
      </c>
      <c r="D572" s="2385"/>
      <c r="E572" s="2385"/>
      <c r="F572" s="2386"/>
      <c r="G572" s="1159">
        <f>ROUNDUP(G562+G563+G564,2)</f>
        <v>88.410000000000011</v>
      </c>
      <c r="H572" s="1005"/>
      <c r="I572" s="1005"/>
      <c r="J572" s="1005"/>
      <c r="K572" s="1005"/>
      <c r="L572" s="1005"/>
      <c r="M572" s="1005"/>
    </row>
    <row r="573" spans="1:13" ht="15.75" thickBot="1">
      <c r="A573" s="2372" t="s">
        <v>357</v>
      </c>
      <c r="B573" s="2373"/>
      <c r="C573" s="2373"/>
      <c r="D573" s="2373"/>
      <c r="E573" s="2373"/>
      <c r="F573" s="2374"/>
      <c r="G573" s="1180">
        <f>ROUNDUP(G568+G570+G572,2)</f>
        <v>108.24</v>
      </c>
      <c r="H573" s="1005"/>
      <c r="I573" s="1005"/>
      <c r="J573" s="1005"/>
      <c r="K573" s="1005"/>
      <c r="L573" s="1005"/>
      <c r="M573" s="1005"/>
    </row>
    <row r="574" spans="1:13" ht="15.75" thickBot="1">
      <c r="A574" s="1177"/>
      <c r="B574" s="1178"/>
      <c r="C574" s="1178"/>
      <c r="D574" s="1178"/>
      <c r="E574" s="1178"/>
      <c r="F574" s="1178"/>
      <c r="G574" s="1179"/>
      <c r="H574" s="1005"/>
      <c r="I574" s="1005"/>
      <c r="J574" s="1005"/>
      <c r="K574" s="1005"/>
      <c r="L574" s="1005"/>
      <c r="M574" s="1005"/>
    </row>
    <row r="575" spans="1:13" ht="15.75" thickBot="1">
      <c r="A575" s="1019" t="s">
        <v>119</v>
      </c>
      <c r="B575" s="2262" t="s">
        <v>2155</v>
      </c>
      <c r="C575" s="2263"/>
      <c r="D575" s="2263"/>
      <c r="E575" s="2263"/>
      <c r="F575" s="2263"/>
      <c r="G575" s="2264"/>
      <c r="H575" s="1005"/>
      <c r="I575" s="1158"/>
      <c r="J575" s="1005"/>
      <c r="K575" s="1005"/>
      <c r="L575" s="1005"/>
      <c r="M575" s="1005"/>
    </row>
    <row r="576" spans="1:13">
      <c r="A576" s="2265" t="s">
        <v>320</v>
      </c>
      <c r="B576" s="2266"/>
      <c r="C576" s="2266"/>
      <c r="D576" s="2266"/>
      <c r="E576" s="2266"/>
      <c r="F576" s="2266"/>
      <c r="G576" s="2267"/>
      <c r="H576" s="1005"/>
      <c r="I576" s="1005"/>
      <c r="J576" s="1005"/>
      <c r="K576" s="1005"/>
      <c r="L576" s="1005"/>
      <c r="M576" s="1005"/>
    </row>
    <row r="577" spans="1:13">
      <c r="A577" s="2419" t="s">
        <v>402</v>
      </c>
      <c r="B577" s="2420"/>
      <c r="C577" s="2420"/>
      <c r="D577" s="2420"/>
      <c r="E577" s="2420"/>
      <c r="F577" s="2420"/>
      <c r="G577" s="2421"/>
      <c r="H577" s="1005"/>
      <c r="I577" s="1005"/>
      <c r="J577" s="1005"/>
      <c r="K577" s="1005"/>
      <c r="L577" s="1005"/>
      <c r="M577" s="1005"/>
    </row>
    <row r="578" spans="1:13">
      <c r="A578" s="1034" t="s">
        <v>339</v>
      </c>
      <c r="B578" s="1035" t="s">
        <v>339</v>
      </c>
      <c r="C578" s="1035" t="s">
        <v>349</v>
      </c>
      <c r="D578" s="1035" t="s">
        <v>350</v>
      </c>
      <c r="E578" s="1035" t="s">
        <v>351</v>
      </c>
      <c r="F578" s="1035" t="s">
        <v>352</v>
      </c>
      <c r="G578" s="1093" t="s">
        <v>353</v>
      </c>
      <c r="H578" s="1005"/>
      <c r="I578" s="1005"/>
      <c r="J578" s="1005"/>
      <c r="K578" s="1005"/>
      <c r="L578" s="1005"/>
      <c r="M578" s="1005"/>
    </row>
    <row r="579" spans="1:13">
      <c r="A579" s="2387" t="s">
        <v>772</v>
      </c>
      <c r="B579" s="2388"/>
      <c r="C579" s="2388"/>
      <c r="D579" s="2388"/>
      <c r="E579" s="2388"/>
      <c r="F579" s="2388"/>
      <c r="G579" s="2389"/>
      <c r="H579" s="1005"/>
      <c r="I579" s="1005"/>
      <c r="J579" s="1005"/>
      <c r="K579" s="1005"/>
      <c r="L579" s="1005"/>
      <c r="M579" s="1005"/>
    </row>
    <row r="580" spans="1:13" ht="24">
      <c r="A580" s="1049" t="s">
        <v>834</v>
      </c>
      <c r="B580" s="1071">
        <f>4.75+9.5+4.75</f>
        <v>19</v>
      </c>
      <c r="C580" s="1071">
        <v>0.15</v>
      </c>
      <c r="D580" s="1071">
        <f t="shared" ref="D580:D585" si="21">C580*B580</f>
        <v>2.85</v>
      </c>
      <c r="E580" s="1071"/>
      <c r="F580" s="1071"/>
      <c r="G580" s="1096">
        <f t="shared" ref="G580:G585" si="22">D580-F580</f>
        <v>2.85</v>
      </c>
      <c r="H580" s="1005"/>
      <c r="I580" s="1005"/>
      <c r="J580" s="1005"/>
      <c r="K580" s="1005"/>
      <c r="L580" s="1005"/>
      <c r="M580" s="1005"/>
    </row>
    <row r="581" spans="1:13" ht="36">
      <c r="A581" s="1049" t="s">
        <v>835</v>
      </c>
      <c r="B581" s="1071">
        <f>4.15+4+1.6+3.08+4.5+1.65+5.15+4</f>
        <v>28.129999999999995</v>
      </c>
      <c r="C581" s="1071">
        <v>0.15</v>
      </c>
      <c r="D581" s="1071">
        <f t="shared" si="21"/>
        <v>4.2194999999999991</v>
      </c>
      <c r="E581" s="1071"/>
      <c r="F581" s="1071"/>
      <c r="G581" s="1096">
        <f t="shared" si="22"/>
        <v>4.2194999999999991</v>
      </c>
      <c r="H581" s="1005"/>
      <c r="I581" s="1005"/>
      <c r="J581" s="1005"/>
      <c r="K581" s="1005"/>
      <c r="L581" s="1005"/>
      <c r="M581" s="1005"/>
    </row>
    <row r="582" spans="1:13" ht="24">
      <c r="A582" s="1049" t="s">
        <v>836</v>
      </c>
      <c r="B582" s="1071">
        <f>3.85+3.85+9.8+9.8</f>
        <v>27.3</v>
      </c>
      <c r="C582" s="1071">
        <v>0.15</v>
      </c>
      <c r="D582" s="1071">
        <f t="shared" si="21"/>
        <v>4.0949999999999998</v>
      </c>
      <c r="E582" s="1071"/>
      <c r="F582" s="1071"/>
      <c r="G582" s="1096">
        <f t="shared" si="22"/>
        <v>4.0949999999999998</v>
      </c>
      <c r="H582" s="1005"/>
      <c r="I582" s="1005"/>
      <c r="J582" s="1005"/>
      <c r="K582" s="1005"/>
      <c r="L582" s="1005"/>
      <c r="M582" s="1005"/>
    </row>
    <row r="583" spans="1:13" ht="36">
      <c r="A583" s="1049" t="s">
        <v>837</v>
      </c>
      <c r="B583" s="1071">
        <f>7.8+7.5+17.1+3.35</f>
        <v>35.750000000000007</v>
      </c>
      <c r="C583" s="1071">
        <v>0.15</v>
      </c>
      <c r="D583" s="1071">
        <f t="shared" si="21"/>
        <v>5.3625000000000007</v>
      </c>
      <c r="E583" s="1071"/>
      <c r="F583" s="1071"/>
      <c r="G583" s="1096">
        <f t="shared" si="22"/>
        <v>5.3625000000000007</v>
      </c>
      <c r="H583" s="1005"/>
      <c r="I583" s="1005"/>
      <c r="J583" s="1005"/>
      <c r="K583" s="1005"/>
      <c r="L583" s="1005"/>
      <c r="M583" s="1005"/>
    </row>
    <row r="584" spans="1:13" ht="24">
      <c r="A584" s="1049" t="s">
        <v>838</v>
      </c>
      <c r="B584" s="1071">
        <f>3.35+1.8</f>
        <v>5.15</v>
      </c>
      <c r="C584" s="1071">
        <v>1.28</v>
      </c>
      <c r="D584" s="1071">
        <f t="shared" si="21"/>
        <v>6.5920000000000005</v>
      </c>
      <c r="E584" s="1071"/>
      <c r="F584" s="1071"/>
      <c r="G584" s="1096">
        <f t="shared" si="22"/>
        <v>6.5920000000000005</v>
      </c>
      <c r="H584" s="1005"/>
      <c r="I584" s="1005"/>
      <c r="J584" s="1005"/>
      <c r="K584" s="1005"/>
      <c r="L584" s="1005"/>
      <c r="M584" s="1005"/>
    </row>
    <row r="585" spans="1:13" ht="24">
      <c r="A585" s="1049" t="s">
        <v>839</v>
      </c>
      <c r="B585" s="1071">
        <f>7.8+7.5</f>
        <v>15.3</v>
      </c>
      <c r="C585" s="1071">
        <v>1.28</v>
      </c>
      <c r="D585" s="1071">
        <f t="shared" si="21"/>
        <v>19.584</v>
      </c>
      <c r="E585" s="1071"/>
      <c r="F585" s="1071"/>
      <c r="G585" s="1096">
        <f t="shared" si="22"/>
        <v>19.584</v>
      </c>
      <c r="H585" s="1005"/>
      <c r="I585" s="1005"/>
      <c r="J585" s="1005"/>
      <c r="K585" s="1005"/>
      <c r="L585" s="1005"/>
      <c r="M585" s="1005"/>
    </row>
    <row r="586" spans="1:13">
      <c r="A586" s="2334"/>
      <c r="B586" s="2254"/>
      <c r="C586" s="2254"/>
      <c r="D586" s="2254"/>
      <c r="E586" s="2254"/>
      <c r="F586" s="2254"/>
      <c r="G586" s="2255"/>
      <c r="H586" s="1005"/>
      <c r="I586" s="1005"/>
      <c r="J586" s="1005"/>
      <c r="K586" s="1005"/>
      <c r="L586" s="1005"/>
      <c r="M586" s="1005"/>
    </row>
    <row r="587" spans="1:13">
      <c r="A587" s="2387" t="s">
        <v>782</v>
      </c>
      <c r="B587" s="2388"/>
      <c r="C587" s="2388"/>
      <c r="D587" s="2388"/>
      <c r="E587" s="2388"/>
      <c r="F587" s="2388"/>
      <c r="G587" s="2389"/>
      <c r="H587" s="1005"/>
      <c r="I587" s="1005"/>
      <c r="J587" s="1005"/>
      <c r="K587" s="1005"/>
      <c r="L587" s="1005"/>
      <c r="M587" s="1005"/>
    </row>
    <row r="588" spans="1:13">
      <c r="A588" s="1094">
        <v>4.1500000000000004</v>
      </c>
      <c r="B588" s="1071">
        <v>4.1500000000000004</v>
      </c>
      <c r="C588" s="1071">
        <v>2.2799999999999998</v>
      </c>
      <c r="D588" s="1071">
        <f t="shared" ref="D588:D594" si="23">C588*B588</f>
        <v>9.4619999999999997</v>
      </c>
      <c r="E588" s="1071"/>
      <c r="F588" s="1071"/>
      <c r="G588" s="1096">
        <f>D588*C588</f>
        <v>21.573359999999997</v>
      </c>
      <c r="H588" s="1005"/>
      <c r="I588" s="1005"/>
      <c r="J588" s="1005"/>
      <c r="K588" s="1005"/>
      <c r="L588" s="1005"/>
      <c r="M588" s="1005"/>
    </row>
    <row r="589" spans="1:13">
      <c r="A589" s="1094">
        <v>3.35</v>
      </c>
      <c r="B589" s="1071">
        <v>3.35</v>
      </c>
      <c r="C589" s="1071">
        <v>4.32</v>
      </c>
      <c r="D589" s="1071">
        <f t="shared" si="23"/>
        <v>14.472000000000001</v>
      </c>
      <c r="E589" s="1071"/>
      <c r="F589" s="1071"/>
      <c r="G589" s="1096">
        <f>D589</f>
        <v>14.472000000000001</v>
      </c>
      <c r="H589" s="1005"/>
      <c r="I589" s="1005"/>
      <c r="J589" s="1005"/>
      <c r="K589" s="1005"/>
      <c r="L589" s="1005"/>
      <c r="M589" s="1005"/>
    </row>
    <row r="590" spans="1:13">
      <c r="A590" s="1094">
        <v>2.35</v>
      </c>
      <c r="B590" s="1071">
        <v>2.35</v>
      </c>
      <c r="C590" s="1071">
        <v>4.32</v>
      </c>
      <c r="D590" s="1071">
        <f t="shared" si="23"/>
        <v>10.152000000000001</v>
      </c>
      <c r="E590" s="1095" t="s">
        <v>790</v>
      </c>
      <c r="F590" s="1071">
        <f>2.2*1.1</f>
        <v>2.4200000000000004</v>
      </c>
      <c r="G590" s="1096">
        <f>D590-F590</f>
        <v>7.7320000000000011</v>
      </c>
      <c r="H590" s="1005"/>
      <c r="I590" s="1005"/>
      <c r="J590" s="1005"/>
      <c r="K590" s="1005"/>
      <c r="L590" s="1005"/>
      <c r="M590" s="1005"/>
    </row>
    <row r="591" spans="1:13">
      <c r="A591" s="1094">
        <v>4.1500000000000004</v>
      </c>
      <c r="B591" s="1071">
        <v>4.1500000000000004</v>
      </c>
      <c r="C591" s="1071">
        <v>1.27</v>
      </c>
      <c r="D591" s="1071">
        <f t="shared" si="23"/>
        <v>5.2705000000000002</v>
      </c>
      <c r="E591" s="1071"/>
      <c r="F591" s="1071"/>
      <c r="G591" s="1096">
        <f>D591</f>
        <v>5.2705000000000002</v>
      </c>
      <c r="H591" s="1005"/>
      <c r="I591" s="1005"/>
      <c r="J591" s="1005"/>
      <c r="K591" s="1005"/>
      <c r="L591" s="1005"/>
      <c r="M591" s="1005"/>
    </row>
    <row r="592" spans="1:13">
      <c r="A592" s="1049" t="s">
        <v>840</v>
      </c>
      <c r="B592" s="1071">
        <v>4.1500000000000004</v>
      </c>
      <c r="C592" s="1071">
        <v>1.27</v>
      </c>
      <c r="D592" s="1071">
        <f t="shared" si="23"/>
        <v>5.2705000000000002</v>
      </c>
      <c r="E592" s="1071"/>
      <c r="F592" s="1071"/>
      <c r="G592" s="1096">
        <f>D592</f>
        <v>5.2705000000000002</v>
      </c>
      <c r="H592" s="1005"/>
      <c r="I592" s="1005"/>
      <c r="J592" s="1005"/>
      <c r="K592" s="1005"/>
      <c r="L592" s="1005"/>
      <c r="M592" s="1005"/>
    </row>
    <row r="593" spans="1:13" ht="24">
      <c r="A593" s="1049" t="s">
        <v>841</v>
      </c>
      <c r="B593" s="1071">
        <f>4.45+4.6+4.6</f>
        <v>13.65</v>
      </c>
      <c r="C593" s="1071">
        <v>1.78</v>
      </c>
      <c r="D593" s="1071">
        <f t="shared" si="23"/>
        <v>24.297000000000001</v>
      </c>
      <c r="E593" s="1071"/>
      <c r="F593" s="1071"/>
      <c r="G593" s="1096">
        <f>D593</f>
        <v>24.297000000000001</v>
      </c>
      <c r="H593" s="1005"/>
      <c r="I593" s="1005"/>
      <c r="J593" s="1005"/>
      <c r="K593" s="1005"/>
      <c r="L593" s="1005"/>
      <c r="M593" s="1005"/>
    </row>
    <row r="594" spans="1:13" ht="24">
      <c r="A594" s="1049" t="s">
        <v>843</v>
      </c>
      <c r="B594" s="1071">
        <f>3.85+3.85</f>
        <v>7.7</v>
      </c>
      <c r="C594" s="1071">
        <v>2.2799999999999998</v>
      </c>
      <c r="D594" s="1071">
        <f t="shared" si="23"/>
        <v>17.555999999999997</v>
      </c>
      <c r="E594" s="1071"/>
      <c r="F594" s="1071"/>
      <c r="G594" s="1096">
        <f>D594</f>
        <v>17.555999999999997</v>
      </c>
      <c r="H594" s="1005"/>
      <c r="I594" s="1005"/>
      <c r="J594" s="1005"/>
      <c r="K594" s="1005"/>
      <c r="L594" s="1005"/>
      <c r="M594" s="1005"/>
    </row>
    <row r="595" spans="1:13" ht="24">
      <c r="A595" s="1154" t="s">
        <v>844</v>
      </c>
      <c r="B595" s="1155">
        <v>4.5999999999999996</v>
      </c>
      <c r="C595" s="1132">
        <v>1.93</v>
      </c>
      <c r="D595" s="1132">
        <f>B595*C595</f>
        <v>8.8779999999999983</v>
      </c>
      <c r="E595" s="1132"/>
      <c r="F595" s="1132"/>
      <c r="G595" s="1157">
        <f>D595-F595</f>
        <v>8.8779999999999983</v>
      </c>
      <c r="H595" s="1005"/>
      <c r="I595" s="1005"/>
      <c r="J595" s="1005"/>
      <c r="K595" s="1005"/>
      <c r="L595" s="1005"/>
      <c r="M595" s="1005"/>
    </row>
    <row r="596" spans="1:13">
      <c r="A596" s="2334"/>
      <c r="B596" s="2254"/>
      <c r="C596" s="2254"/>
      <c r="D596" s="2254"/>
      <c r="E596" s="2254"/>
      <c r="F596" s="2254"/>
      <c r="G596" s="2255"/>
      <c r="H596" s="1005"/>
      <c r="I596" s="1005"/>
      <c r="J596" s="1005"/>
      <c r="K596" s="1005"/>
      <c r="L596" s="1005"/>
      <c r="M596" s="1005"/>
    </row>
    <row r="597" spans="1:13">
      <c r="A597" s="2387" t="s">
        <v>800</v>
      </c>
      <c r="B597" s="2388"/>
      <c r="C597" s="2388"/>
      <c r="D597" s="2388"/>
      <c r="E597" s="2388"/>
      <c r="F597" s="2388"/>
      <c r="G597" s="2389"/>
      <c r="H597" s="1005"/>
      <c r="I597" s="1005"/>
      <c r="J597" s="1005"/>
      <c r="K597" s="1005"/>
      <c r="L597" s="1005"/>
      <c r="M597" s="1005"/>
    </row>
    <row r="598" spans="1:13" ht="36">
      <c r="A598" s="1049" t="s">
        <v>845</v>
      </c>
      <c r="B598" s="1071">
        <f>3.65+4.8</f>
        <v>8.4499999999999993</v>
      </c>
      <c r="C598" s="1071">
        <v>4.32</v>
      </c>
      <c r="D598" s="1071">
        <f>B598*C598</f>
        <v>36.503999999999998</v>
      </c>
      <c r="E598" s="1095" t="s">
        <v>846</v>
      </c>
      <c r="F598" s="1071">
        <f>(2.2*1.1)+(2.3+1.1)</f>
        <v>5.82</v>
      </c>
      <c r="G598" s="1096">
        <f>D598-F598</f>
        <v>30.683999999999997</v>
      </c>
      <c r="H598" s="1005"/>
      <c r="I598" s="1005"/>
      <c r="J598" s="1005"/>
      <c r="K598" s="1005"/>
      <c r="L598" s="1005"/>
      <c r="M598" s="1005"/>
    </row>
    <row r="599" spans="1:13" ht="60">
      <c r="A599" s="1049" t="s">
        <v>849</v>
      </c>
      <c r="B599" s="1153">
        <f>7.8+7.8+17.25</f>
        <v>32.85</v>
      </c>
      <c r="C599" s="1071">
        <v>4.32</v>
      </c>
      <c r="D599" s="1071">
        <f>B599*C599</f>
        <v>141.91200000000001</v>
      </c>
      <c r="E599" s="1095" t="s">
        <v>850</v>
      </c>
      <c r="F599" s="1071">
        <f>((2.3*1.1)*3)+((1.1*0.6)*2)+(1.6*2.1)</f>
        <v>12.27</v>
      </c>
      <c r="G599" s="1096">
        <f>D599-F599</f>
        <v>129.642</v>
      </c>
      <c r="H599" s="1005"/>
      <c r="I599" s="1005"/>
      <c r="J599" s="1005"/>
      <c r="K599" s="1005"/>
      <c r="L599" s="1005"/>
      <c r="M599" s="1005"/>
    </row>
    <row r="600" spans="1:13">
      <c r="A600" s="1094">
        <v>5.15</v>
      </c>
      <c r="B600" s="1153">
        <v>5.15</v>
      </c>
      <c r="C600" s="1071">
        <v>4.2699999999999996</v>
      </c>
      <c r="D600" s="1071">
        <f>B600*C600</f>
        <v>21.990500000000001</v>
      </c>
      <c r="E600" s="1071"/>
      <c r="F600" s="1071"/>
      <c r="G600" s="1096">
        <f>D600</f>
        <v>21.990500000000001</v>
      </c>
      <c r="H600" s="1005"/>
      <c r="I600" s="1005"/>
      <c r="J600" s="1005"/>
      <c r="K600" s="1005"/>
      <c r="L600" s="1005"/>
      <c r="M600" s="1005"/>
    </row>
    <row r="601" spans="1:13" ht="24">
      <c r="A601" s="1094">
        <v>4.1500000000000004</v>
      </c>
      <c r="B601" s="1153">
        <v>4.1500000000000004</v>
      </c>
      <c r="C601" s="1071">
        <v>2.84</v>
      </c>
      <c r="D601" s="1071">
        <f>B601*C601</f>
        <v>11.786</v>
      </c>
      <c r="E601" s="1095" t="s">
        <v>851</v>
      </c>
      <c r="F601" s="1071">
        <f>(1.3*2.1)+(2.3*1.1)</f>
        <v>5.26</v>
      </c>
      <c r="G601" s="1096">
        <f>D601-F601</f>
        <v>6.5259999999999998</v>
      </c>
      <c r="H601" s="1005"/>
      <c r="I601" s="1005"/>
      <c r="J601" s="1005"/>
      <c r="K601" s="1005"/>
      <c r="L601" s="1005"/>
      <c r="M601" s="1005"/>
    </row>
    <row r="602" spans="1:13">
      <c r="A602" s="1049" t="s">
        <v>852</v>
      </c>
      <c r="B602" s="1071">
        <v>7.5</v>
      </c>
      <c r="C602" s="1071">
        <v>1.78</v>
      </c>
      <c r="D602" s="1071">
        <f>C602*B602</f>
        <v>13.35</v>
      </c>
      <c r="E602" s="1071"/>
      <c r="F602" s="1071"/>
      <c r="G602" s="1096">
        <f>D602-F602</f>
        <v>13.35</v>
      </c>
      <c r="H602" s="1005"/>
      <c r="I602" s="1005"/>
      <c r="J602" s="1005"/>
      <c r="K602" s="1005"/>
      <c r="L602" s="1005"/>
      <c r="M602" s="1005"/>
    </row>
    <row r="603" spans="1:13">
      <c r="A603" s="1049" t="s">
        <v>853</v>
      </c>
      <c r="B603" s="1071">
        <v>16.95</v>
      </c>
      <c r="C603" s="1071">
        <v>1.28</v>
      </c>
      <c r="D603" s="1071">
        <f>C603*B603</f>
        <v>21.695999999999998</v>
      </c>
      <c r="E603" s="1071"/>
      <c r="F603" s="1071"/>
      <c r="G603" s="1096">
        <f>D603-F603</f>
        <v>21.695999999999998</v>
      </c>
      <c r="H603" s="1005"/>
      <c r="I603" s="1005"/>
      <c r="J603" s="1005"/>
      <c r="K603" s="1005"/>
      <c r="L603" s="1005"/>
      <c r="M603" s="1005"/>
    </row>
    <row r="604" spans="1:13" ht="24">
      <c r="A604" s="1049" t="s">
        <v>854</v>
      </c>
      <c r="B604" s="1071">
        <f>9.5+9.5+9.5</f>
        <v>28.5</v>
      </c>
      <c r="C604" s="1071">
        <v>2.2799999999999998</v>
      </c>
      <c r="D604" s="1071">
        <f>C604*B604</f>
        <v>64.97999999999999</v>
      </c>
      <c r="E604" s="1071"/>
      <c r="F604" s="1071"/>
      <c r="G604" s="1096">
        <f>D604-F604</f>
        <v>64.97999999999999</v>
      </c>
      <c r="H604" s="1005"/>
      <c r="I604" s="1005"/>
      <c r="J604" s="1005"/>
      <c r="K604" s="1005"/>
      <c r="L604" s="1005"/>
      <c r="M604" s="1005"/>
    </row>
    <row r="605" spans="1:13">
      <c r="A605" s="2334"/>
      <c r="B605" s="2254"/>
      <c r="C605" s="2254"/>
      <c r="D605" s="2254"/>
      <c r="E605" s="2254"/>
      <c r="F605" s="2254"/>
      <c r="G605" s="2255"/>
      <c r="H605" s="1005"/>
      <c r="I605" s="1005"/>
      <c r="J605" s="1005"/>
      <c r="K605" s="1005"/>
      <c r="L605" s="1005"/>
      <c r="M605" s="1005"/>
    </row>
    <row r="606" spans="1:13">
      <c r="A606" s="2271" t="s">
        <v>2150</v>
      </c>
      <c r="B606" s="2274"/>
      <c r="C606" s="2274"/>
      <c r="D606" s="2274"/>
      <c r="E606" s="2274"/>
      <c r="F606" s="2274"/>
      <c r="G606" s="2275"/>
      <c r="H606" s="1005"/>
      <c r="I606" s="1158"/>
      <c r="J606" s="1005"/>
      <c r="K606" s="1005"/>
      <c r="L606" s="1005"/>
      <c r="M606" s="1005"/>
    </row>
    <row r="607" spans="1:13">
      <c r="A607" s="2375"/>
      <c r="B607" s="2376"/>
      <c r="C607" s="2381" t="s">
        <v>772</v>
      </c>
      <c r="D607" s="2382"/>
      <c r="E607" s="2382"/>
      <c r="F607" s="2383"/>
      <c r="G607" s="1096"/>
      <c r="H607" s="1005"/>
      <c r="I607" s="1005"/>
      <c r="J607" s="1005"/>
      <c r="K607" s="1005"/>
      <c r="L607" s="1005"/>
      <c r="M607" s="1005"/>
    </row>
    <row r="608" spans="1:13">
      <c r="A608" s="2377"/>
      <c r="B608" s="2378"/>
      <c r="C608" s="2384" t="s">
        <v>324</v>
      </c>
      <c r="D608" s="2385"/>
      <c r="E608" s="2385"/>
      <c r="F608" s="2386"/>
      <c r="G608" s="1159">
        <f>ROUNDUP(G580+G581+G582+G583+G584+G585,2)</f>
        <v>42.71</v>
      </c>
      <c r="H608" s="1005"/>
      <c r="I608" s="1005"/>
      <c r="J608" s="1005"/>
      <c r="K608" s="1005"/>
      <c r="L608" s="1005"/>
      <c r="M608" s="1005"/>
    </row>
    <row r="609" spans="1:13">
      <c r="A609" s="2377"/>
      <c r="B609" s="2378"/>
      <c r="C609" s="2381" t="s">
        <v>782</v>
      </c>
      <c r="D609" s="2382"/>
      <c r="E609" s="2382"/>
      <c r="F609" s="2383"/>
      <c r="G609" s="1160"/>
      <c r="H609" s="1005"/>
      <c r="I609" s="1005"/>
      <c r="J609" s="1005"/>
      <c r="K609" s="1005"/>
      <c r="L609" s="1005"/>
      <c r="M609" s="1005"/>
    </row>
    <row r="610" spans="1:13">
      <c r="A610" s="2377"/>
      <c r="B610" s="2378"/>
      <c r="C610" s="2384" t="s">
        <v>324</v>
      </c>
      <c r="D610" s="2385"/>
      <c r="E610" s="2385"/>
      <c r="F610" s="2386"/>
      <c r="G610" s="1159">
        <f>ROUNDUP(G588+G589+G590+G591+G592+G593+G594+G595,2)</f>
        <v>105.05000000000001</v>
      </c>
      <c r="H610" s="1005"/>
      <c r="I610" s="1005"/>
      <c r="J610" s="1005"/>
      <c r="K610" s="1005"/>
      <c r="L610" s="1005"/>
      <c r="M610" s="1005"/>
    </row>
    <row r="611" spans="1:13">
      <c r="A611" s="2377"/>
      <c r="B611" s="2378"/>
      <c r="C611" s="2381" t="s">
        <v>800</v>
      </c>
      <c r="D611" s="2382"/>
      <c r="E611" s="2382"/>
      <c r="F611" s="2383"/>
      <c r="G611" s="1160"/>
      <c r="H611" s="1005"/>
      <c r="I611" s="1005"/>
      <c r="J611" s="1005"/>
      <c r="K611" s="1005"/>
      <c r="L611" s="1005"/>
      <c r="M611" s="1005"/>
    </row>
    <row r="612" spans="1:13">
      <c r="A612" s="2379"/>
      <c r="B612" s="2380"/>
      <c r="C612" s="2384" t="s">
        <v>324</v>
      </c>
      <c r="D612" s="2385"/>
      <c r="E612" s="2385"/>
      <c r="F612" s="2386"/>
      <c r="G612" s="1159">
        <f>ROUNDUP(G598+G599+G600+G601+G602+G603+G604,2)</f>
        <v>288.87</v>
      </c>
      <c r="H612" s="1005"/>
      <c r="I612" s="1005"/>
      <c r="J612" s="1005"/>
      <c r="K612" s="1005"/>
      <c r="L612" s="1005"/>
      <c r="M612" s="1005"/>
    </row>
    <row r="613" spans="1:13" ht="15.75" thickBot="1">
      <c r="A613" s="2372" t="s">
        <v>357</v>
      </c>
      <c r="B613" s="2373"/>
      <c r="C613" s="2373"/>
      <c r="D613" s="2373"/>
      <c r="E613" s="2373"/>
      <c r="F613" s="2374"/>
      <c r="G613" s="1180">
        <f>ROUNDUP(G608+G610+G612,2)</f>
        <v>436.63</v>
      </c>
      <c r="H613" s="1005"/>
      <c r="I613" s="1005"/>
      <c r="J613" s="1005"/>
      <c r="K613" s="1005"/>
      <c r="L613" s="1005"/>
      <c r="M613" s="1005"/>
    </row>
    <row r="614" spans="1:13" ht="15.75" thickBot="1">
      <c r="A614" s="1182"/>
      <c r="B614" s="1183"/>
      <c r="C614" s="1183"/>
      <c r="D614" s="1183"/>
      <c r="E614" s="1183"/>
      <c r="F614" s="1183"/>
      <c r="G614" s="1184"/>
      <c r="H614" s="1005"/>
      <c r="I614" s="1005"/>
      <c r="J614" s="1005"/>
      <c r="K614" s="1005"/>
      <c r="L614" s="1005"/>
      <c r="M614" s="1005"/>
    </row>
    <row r="615" spans="1:13" ht="15.75" thickBot="1">
      <c r="A615" s="1019" t="s">
        <v>620</v>
      </c>
      <c r="B615" s="2262" t="s">
        <v>856</v>
      </c>
      <c r="C615" s="2263"/>
      <c r="D615" s="2263"/>
      <c r="E615" s="2263"/>
      <c r="F615" s="2263"/>
      <c r="G615" s="2264"/>
      <c r="H615" s="1005"/>
      <c r="I615" s="1005"/>
      <c r="J615" s="1005"/>
      <c r="K615" s="1005"/>
      <c r="L615" s="1005"/>
      <c r="M615" s="1005"/>
    </row>
    <row r="616" spans="1:13">
      <c r="A616" s="2265" t="s">
        <v>320</v>
      </c>
      <c r="B616" s="2266"/>
      <c r="C616" s="2266"/>
      <c r="D616" s="2266"/>
      <c r="E616" s="2266"/>
      <c r="F616" s="2266"/>
      <c r="G616" s="2267"/>
      <c r="H616" s="1005"/>
      <c r="I616" s="1005"/>
      <c r="J616" s="1005"/>
      <c r="K616" s="1005"/>
      <c r="L616" s="1005"/>
      <c r="M616" s="1005"/>
    </row>
    <row r="617" spans="1:13">
      <c r="A617" s="2419" t="s">
        <v>402</v>
      </c>
      <c r="B617" s="2420"/>
      <c r="C617" s="2420"/>
      <c r="D617" s="2420"/>
      <c r="E617" s="2420"/>
      <c r="F617" s="2420"/>
      <c r="G617" s="2421"/>
      <c r="H617" s="1005"/>
      <c r="I617" s="1005"/>
      <c r="J617" s="1005"/>
      <c r="K617" s="1005"/>
      <c r="L617" s="1005"/>
      <c r="M617" s="1005"/>
    </row>
    <row r="618" spans="1:13">
      <c r="A618" s="1034" t="s">
        <v>339</v>
      </c>
      <c r="B618" s="1035" t="s">
        <v>339</v>
      </c>
      <c r="C618" s="1035" t="s">
        <v>349</v>
      </c>
      <c r="D618" s="1035" t="s">
        <v>350</v>
      </c>
      <c r="E618" s="1035" t="s">
        <v>351</v>
      </c>
      <c r="F618" s="1035" t="s">
        <v>352</v>
      </c>
      <c r="G618" s="1093" t="s">
        <v>353</v>
      </c>
      <c r="H618" s="1005"/>
      <c r="I618" s="1005"/>
      <c r="J618" s="1005"/>
      <c r="K618" s="1005"/>
      <c r="L618" s="1005"/>
      <c r="M618" s="1005"/>
    </row>
    <row r="619" spans="1:13">
      <c r="A619" s="2387" t="s">
        <v>772</v>
      </c>
      <c r="B619" s="2388"/>
      <c r="C619" s="2388"/>
      <c r="D619" s="2388"/>
      <c r="E619" s="2388"/>
      <c r="F619" s="2388"/>
      <c r="G619" s="2389"/>
      <c r="H619" s="1005"/>
      <c r="I619" s="1005"/>
      <c r="J619" s="1005"/>
      <c r="K619" s="1005"/>
      <c r="L619" s="1005"/>
      <c r="M619" s="1005"/>
    </row>
    <row r="620" spans="1:13">
      <c r="A620" s="1094">
        <v>1.5</v>
      </c>
      <c r="B620" s="1071">
        <v>1.5</v>
      </c>
      <c r="C620" s="1071">
        <v>2.82</v>
      </c>
      <c r="D620" s="1071">
        <f>B620*C620</f>
        <v>4.2299999999999995</v>
      </c>
      <c r="E620" s="1071"/>
      <c r="F620" s="1071"/>
      <c r="G620" s="1096">
        <f>D620</f>
        <v>4.2299999999999995</v>
      </c>
      <c r="H620" s="1005"/>
      <c r="I620" s="1005"/>
      <c r="J620" s="1005"/>
      <c r="K620" s="1005"/>
      <c r="L620" s="1005"/>
      <c r="M620" s="1005"/>
    </row>
    <row r="621" spans="1:13">
      <c r="A621" s="1094">
        <v>1.5</v>
      </c>
      <c r="B621" s="1071">
        <v>1.5</v>
      </c>
      <c r="C621" s="1071">
        <v>2.2799999999999998</v>
      </c>
      <c r="D621" s="1071">
        <f>B621*C621</f>
        <v>3.42</v>
      </c>
      <c r="E621" s="1071"/>
      <c r="F621" s="1071"/>
      <c r="G621" s="1096">
        <f>D621</f>
        <v>3.42</v>
      </c>
      <c r="H621" s="1005"/>
      <c r="I621" s="1005"/>
      <c r="J621" s="1005"/>
      <c r="K621" s="1005"/>
      <c r="L621" s="1005"/>
      <c r="M621" s="1005"/>
    </row>
    <row r="622" spans="1:13">
      <c r="A622" s="2334"/>
      <c r="B622" s="2254"/>
      <c r="C622" s="2254"/>
      <c r="D622" s="2254"/>
      <c r="E622" s="2254"/>
      <c r="F622" s="2254"/>
      <c r="G622" s="2255"/>
      <c r="H622" s="1005"/>
      <c r="I622" s="1005"/>
      <c r="J622" s="1005"/>
      <c r="K622" s="1005"/>
      <c r="L622" s="1005"/>
      <c r="M622" s="1005"/>
    </row>
    <row r="623" spans="1:13">
      <c r="A623" s="2387" t="s">
        <v>782</v>
      </c>
      <c r="B623" s="2388"/>
      <c r="C623" s="2388"/>
      <c r="D623" s="2388"/>
      <c r="E623" s="2388"/>
      <c r="F623" s="2388"/>
      <c r="G623" s="2389"/>
      <c r="H623" s="1005"/>
      <c r="I623" s="1005"/>
      <c r="J623" s="1005"/>
      <c r="K623" s="1005"/>
      <c r="L623" s="1005"/>
      <c r="M623" s="1005"/>
    </row>
    <row r="624" spans="1:13">
      <c r="A624" s="1094">
        <v>1.5</v>
      </c>
      <c r="B624" s="1071">
        <v>1.5</v>
      </c>
      <c r="C624" s="1071">
        <v>4.32</v>
      </c>
      <c r="D624" s="1071">
        <f>B624*C624</f>
        <v>6.48</v>
      </c>
      <c r="E624" s="1071"/>
      <c r="F624" s="1071"/>
      <c r="G624" s="1096">
        <f>D624</f>
        <v>6.48</v>
      </c>
      <c r="H624" s="1005"/>
      <c r="I624" s="1005"/>
      <c r="J624" s="1005"/>
      <c r="K624" s="1005"/>
      <c r="L624" s="1005"/>
      <c r="M624" s="1005"/>
    </row>
    <row r="625" spans="1:13">
      <c r="A625" s="1049" t="s">
        <v>842</v>
      </c>
      <c r="B625" s="1071">
        <v>2.5</v>
      </c>
      <c r="C625" s="1071">
        <v>2.2799999999999998</v>
      </c>
      <c r="D625" s="1071">
        <f>C625*B625</f>
        <v>5.6999999999999993</v>
      </c>
      <c r="E625" s="1071"/>
      <c r="F625" s="1071"/>
      <c r="G625" s="1096">
        <f>D625-F625</f>
        <v>5.6999999999999993</v>
      </c>
      <c r="H625" s="1005"/>
      <c r="I625" s="1005"/>
      <c r="J625" s="1005"/>
      <c r="K625" s="1005"/>
      <c r="L625" s="1005"/>
      <c r="M625" s="1005"/>
    </row>
    <row r="626" spans="1:13">
      <c r="A626" s="2334"/>
      <c r="B626" s="2254"/>
      <c r="C626" s="2254"/>
      <c r="D626" s="2254"/>
      <c r="E626" s="2254"/>
      <c r="F626" s="2254"/>
      <c r="G626" s="2255"/>
      <c r="H626" s="1005"/>
      <c r="I626" s="1005"/>
      <c r="J626" s="1005"/>
      <c r="K626" s="1005"/>
      <c r="L626" s="1005"/>
      <c r="M626" s="1005"/>
    </row>
    <row r="627" spans="1:13">
      <c r="A627" s="2387" t="s">
        <v>800</v>
      </c>
      <c r="B627" s="2388"/>
      <c r="C627" s="2388"/>
      <c r="D627" s="2388"/>
      <c r="E627" s="2388"/>
      <c r="F627" s="2388"/>
      <c r="G627" s="2389"/>
      <c r="H627" s="1005"/>
      <c r="I627" s="1005"/>
      <c r="J627" s="1005"/>
      <c r="K627" s="1005"/>
      <c r="L627" s="1005"/>
      <c r="M627" s="1005"/>
    </row>
    <row r="628" spans="1:13" ht="36">
      <c r="A628" s="1049" t="s">
        <v>845</v>
      </c>
      <c r="B628" s="1071">
        <f>3.65+4.8</f>
        <v>8.4499999999999993</v>
      </c>
      <c r="C628" s="1071">
        <v>4.32</v>
      </c>
      <c r="D628" s="1071">
        <f>B628*C628</f>
        <v>36.503999999999998</v>
      </c>
      <c r="E628" s="1095" t="s">
        <v>846</v>
      </c>
      <c r="F628" s="1071">
        <f>(2.2*1.1)+(2.3+1.1)</f>
        <v>5.82</v>
      </c>
      <c r="G628" s="1096">
        <f>D628-F628</f>
        <v>30.683999999999997</v>
      </c>
      <c r="H628" s="1005"/>
      <c r="I628" s="1005"/>
      <c r="J628" s="1005"/>
      <c r="K628" s="1005"/>
      <c r="L628" s="1005"/>
      <c r="M628" s="1005"/>
    </row>
    <row r="629" spans="1:13" ht="24">
      <c r="A629" s="1049" t="s">
        <v>847</v>
      </c>
      <c r="B629" s="1100">
        <f>9.8+4.15</f>
        <v>13.950000000000001</v>
      </c>
      <c r="C629" s="1071">
        <v>2.82</v>
      </c>
      <c r="D629" s="1071">
        <f>B629*C629</f>
        <v>39.338999999999999</v>
      </c>
      <c r="E629" s="1095" t="s">
        <v>848</v>
      </c>
      <c r="F629" s="1071">
        <f>1.1*0.6*6</f>
        <v>3.96</v>
      </c>
      <c r="G629" s="1096">
        <f>D629-F629</f>
        <v>35.378999999999998</v>
      </c>
      <c r="H629" s="1005"/>
      <c r="I629" s="1005"/>
      <c r="J629" s="1005"/>
      <c r="K629" s="1005"/>
      <c r="L629" s="1005"/>
      <c r="M629" s="1005"/>
    </row>
    <row r="630" spans="1:13">
      <c r="A630" s="1094">
        <v>9.8000000000000007</v>
      </c>
      <c r="B630" s="1153">
        <v>9.8000000000000007</v>
      </c>
      <c r="C630" s="1071">
        <v>2.2799999999999998</v>
      </c>
      <c r="D630" s="1071">
        <f>C630*B630</f>
        <v>22.344000000000001</v>
      </c>
      <c r="E630" s="1071"/>
      <c r="F630" s="1071"/>
      <c r="G630" s="1096">
        <f>D630-F630</f>
        <v>22.344000000000001</v>
      </c>
      <c r="H630" s="1005"/>
      <c r="I630" s="1005"/>
      <c r="J630" s="1005"/>
      <c r="K630" s="1005"/>
      <c r="L630" s="1005"/>
      <c r="M630" s="1005"/>
    </row>
    <row r="631" spans="1:13">
      <c r="A631" s="2334"/>
      <c r="B631" s="2254"/>
      <c r="C631" s="2254"/>
      <c r="D631" s="2254"/>
      <c r="E631" s="2254"/>
      <c r="F631" s="2254"/>
      <c r="G631" s="2255"/>
      <c r="H631" s="1005"/>
      <c r="I631" s="1005"/>
      <c r="J631" s="1005"/>
      <c r="K631" s="1005"/>
      <c r="L631" s="1005"/>
      <c r="M631" s="1005"/>
    </row>
    <row r="632" spans="1:13">
      <c r="A632" s="2271" t="s">
        <v>813</v>
      </c>
      <c r="B632" s="2274"/>
      <c r="C632" s="2274"/>
      <c r="D632" s="2274"/>
      <c r="E632" s="2274"/>
      <c r="F632" s="2274"/>
      <c r="G632" s="2275"/>
      <c r="H632" s="1005"/>
      <c r="I632" s="1005"/>
      <c r="J632" s="1005"/>
      <c r="K632" s="1005"/>
      <c r="L632" s="1005"/>
      <c r="M632" s="1005"/>
    </row>
    <row r="633" spans="1:13">
      <c r="A633" s="2375"/>
      <c r="B633" s="2376"/>
      <c r="C633" s="2381" t="s">
        <v>772</v>
      </c>
      <c r="D633" s="2382"/>
      <c r="E633" s="2382"/>
      <c r="F633" s="2383"/>
      <c r="G633" s="1096"/>
      <c r="H633" s="1005"/>
      <c r="I633" s="1005"/>
      <c r="J633" s="1005"/>
      <c r="K633" s="1005"/>
      <c r="L633" s="1005"/>
      <c r="M633" s="1005"/>
    </row>
    <row r="634" spans="1:13">
      <c r="A634" s="2377"/>
      <c r="B634" s="2378"/>
      <c r="C634" s="2384" t="s">
        <v>324</v>
      </c>
      <c r="D634" s="2385"/>
      <c r="E634" s="2385"/>
      <c r="F634" s="2386"/>
      <c r="G634" s="1159">
        <f>ROUNDUP(G620+G621,2)</f>
        <v>7.65</v>
      </c>
      <c r="H634" s="1005"/>
      <c r="I634" s="1005"/>
      <c r="J634" s="1005"/>
      <c r="K634" s="1005"/>
      <c r="L634" s="1005"/>
      <c r="M634" s="1005"/>
    </row>
    <row r="635" spans="1:13">
      <c r="A635" s="2377"/>
      <c r="B635" s="2378"/>
      <c r="C635" s="2381" t="s">
        <v>782</v>
      </c>
      <c r="D635" s="2382"/>
      <c r="E635" s="2382"/>
      <c r="F635" s="2383"/>
      <c r="G635" s="1160"/>
      <c r="H635" s="1005"/>
      <c r="I635" s="1005"/>
      <c r="J635" s="1005"/>
      <c r="K635" s="1005"/>
      <c r="L635" s="1005"/>
      <c r="M635" s="1005"/>
    </row>
    <row r="636" spans="1:13">
      <c r="A636" s="2377"/>
      <c r="B636" s="2378"/>
      <c r="C636" s="2384" t="s">
        <v>324</v>
      </c>
      <c r="D636" s="2385"/>
      <c r="E636" s="2385"/>
      <c r="F636" s="2386"/>
      <c r="G636" s="1159">
        <f>ROUNDUP(G624+G625,2)</f>
        <v>12.18</v>
      </c>
      <c r="H636" s="1005"/>
      <c r="I636" s="1005"/>
      <c r="J636" s="1005"/>
      <c r="K636" s="1005"/>
      <c r="L636" s="1005"/>
      <c r="M636" s="1005"/>
    </row>
    <row r="637" spans="1:13">
      <c r="A637" s="2377"/>
      <c r="B637" s="2378"/>
      <c r="C637" s="2381" t="s">
        <v>800</v>
      </c>
      <c r="D637" s="2382"/>
      <c r="E637" s="2382"/>
      <c r="F637" s="2383"/>
      <c r="G637" s="1160"/>
      <c r="H637" s="1005"/>
      <c r="I637" s="1005"/>
      <c r="J637" s="1005"/>
      <c r="K637" s="1005"/>
      <c r="L637" s="1005"/>
      <c r="M637" s="1005"/>
    </row>
    <row r="638" spans="1:13">
      <c r="A638" s="2379"/>
      <c r="B638" s="2380"/>
      <c r="C638" s="2384" t="s">
        <v>324</v>
      </c>
      <c r="D638" s="2385"/>
      <c r="E638" s="2385"/>
      <c r="F638" s="2386"/>
      <c r="G638" s="1159">
        <f>ROUNDUP(G628+G629+G630,2)</f>
        <v>88.410000000000011</v>
      </c>
      <c r="H638" s="1005"/>
      <c r="I638" s="1005"/>
      <c r="J638" s="1005"/>
      <c r="K638" s="1005"/>
      <c r="L638" s="1005"/>
      <c r="M638" s="1005"/>
    </row>
    <row r="639" spans="1:13" ht="15.75" thickBot="1">
      <c r="A639" s="2372" t="s">
        <v>357</v>
      </c>
      <c r="B639" s="2373"/>
      <c r="C639" s="2373"/>
      <c r="D639" s="2373"/>
      <c r="E639" s="2373"/>
      <c r="F639" s="2374"/>
      <c r="G639" s="1180">
        <f>ROUNDUP(G634+G636+G638,2)</f>
        <v>108.24</v>
      </c>
      <c r="H639" s="1005"/>
      <c r="I639" s="1005"/>
      <c r="J639" s="1005"/>
      <c r="K639" s="1005"/>
      <c r="L639" s="1005"/>
      <c r="M639" s="1005"/>
    </row>
    <row r="640" spans="1:13" ht="15.75" thickBot="1">
      <c r="A640" s="1177"/>
      <c r="B640" s="1178"/>
      <c r="C640" s="1178"/>
      <c r="D640" s="1178"/>
      <c r="E640" s="1178"/>
      <c r="F640" s="1178"/>
      <c r="G640" s="1179"/>
      <c r="H640" s="1005"/>
      <c r="I640" s="1005"/>
      <c r="J640" s="1005"/>
      <c r="K640" s="1005"/>
      <c r="L640" s="1005"/>
      <c r="M640" s="1005"/>
    </row>
    <row r="641" spans="1:13" ht="15.75" thickBot="1">
      <c r="A641" s="1019" t="s">
        <v>621</v>
      </c>
      <c r="B641" s="2262" t="s">
        <v>857</v>
      </c>
      <c r="C641" s="2263"/>
      <c r="D641" s="2263"/>
      <c r="E641" s="2263"/>
      <c r="F641" s="2263"/>
      <c r="G641" s="2264"/>
      <c r="H641" s="1005"/>
      <c r="I641" s="1005"/>
      <c r="J641" s="1005"/>
      <c r="K641" s="1005"/>
      <c r="L641" s="1005"/>
      <c r="M641" s="1005"/>
    </row>
    <row r="642" spans="1:13">
      <c r="A642" s="2304" t="s">
        <v>858</v>
      </c>
      <c r="B642" s="2305"/>
      <c r="C642" s="2305"/>
      <c r="D642" s="2305"/>
      <c r="E642" s="2305"/>
      <c r="F642" s="2305"/>
      <c r="G642" s="2306"/>
      <c r="H642" s="1005"/>
      <c r="I642" s="1005"/>
      <c r="J642" s="1005"/>
      <c r="K642" s="1005"/>
      <c r="L642" s="1005"/>
      <c r="M642" s="1005"/>
    </row>
    <row r="643" spans="1:13">
      <c r="A643" s="2268" t="s">
        <v>407</v>
      </c>
      <c r="B643" s="2269"/>
      <c r="C643" s="2269"/>
      <c r="D643" s="2269"/>
      <c r="E643" s="2269"/>
      <c r="F643" s="2269"/>
      <c r="G643" s="2270"/>
      <c r="H643" s="1005"/>
      <c r="I643" s="1005"/>
      <c r="J643" s="1005"/>
      <c r="K643" s="1005"/>
      <c r="L643" s="1005"/>
      <c r="M643" s="1005"/>
    </row>
    <row r="644" spans="1:13">
      <c r="A644" s="2271" t="s">
        <v>408</v>
      </c>
      <c r="B644" s="2272"/>
      <c r="C644" s="1035" t="s">
        <v>339</v>
      </c>
      <c r="D644" s="1035" t="s">
        <v>322</v>
      </c>
      <c r="E644" s="2273" t="s">
        <v>323</v>
      </c>
      <c r="F644" s="2274"/>
      <c r="G644" s="2275"/>
      <c r="H644" s="1005"/>
      <c r="I644" s="1005"/>
      <c r="J644" s="1005"/>
      <c r="K644" s="1005"/>
      <c r="L644" s="1005"/>
      <c r="M644" s="1005"/>
    </row>
    <row r="645" spans="1:13">
      <c r="A645" s="2251" t="s">
        <v>859</v>
      </c>
      <c r="B645" s="2252"/>
      <c r="C645" s="1132">
        <v>24.3</v>
      </c>
      <c r="D645" s="1133">
        <v>39.81</v>
      </c>
      <c r="E645" s="2357" t="s">
        <v>860</v>
      </c>
      <c r="F645" s="2358"/>
      <c r="G645" s="2359"/>
      <c r="H645" s="1005"/>
      <c r="I645" s="1005"/>
      <c r="J645" s="1005"/>
      <c r="K645" s="1005"/>
      <c r="L645" s="1005"/>
      <c r="M645" s="1005"/>
    </row>
    <row r="646" spans="1:13">
      <c r="A646" s="2251" t="s">
        <v>861</v>
      </c>
      <c r="B646" s="2252"/>
      <c r="C646" s="1132">
        <v>35.700000000000003</v>
      </c>
      <c r="D646" s="1133">
        <v>39.81</v>
      </c>
      <c r="E646" s="2360"/>
      <c r="F646" s="2361"/>
      <c r="G646" s="2362"/>
      <c r="H646" s="1005"/>
      <c r="I646" s="1005"/>
      <c r="J646" s="1005"/>
      <c r="K646" s="1005"/>
      <c r="L646" s="1005"/>
      <c r="M646" s="1005"/>
    </row>
    <row r="647" spans="1:13">
      <c r="A647" s="2251" t="s">
        <v>862</v>
      </c>
      <c r="B647" s="2252"/>
      <c r="C647" s="1132">
        <v>13</v>
      </c>
      <c r="D647" s="1133">
        <v>39.81</v>
      </c>
      <c r="E647" s="2360"/>
      <c r="F647" s="2361"/>
      <c r="G647" s="2362"/>
      <c r="H647" s="1005"/>
      <c r="I647" s="1005"/>
      <c r="J647" s="1005"/>
      <c r="K647" s="1005"/>
      <c r="L647" s="1005"/>
      <c r="M647" s="1005"/>
    </row>
    <row r="648" spans="1:13">
      <c r="A648" s="2251" t="s">
        <v>863</v>
      </c>
      <c r="B648" s="2252"/>
      <c r="C648" s="1132">
        <v>16</v>
      </c>
      <c r="D648" s="1133">
        <v>39.81</v>
      </c>
      <c r="E648" s="2360"/>
      <c r="F648" s="2361"/>
      <c r="G648" s="2362"/>
      <c r="H648" s="1005"/>
      <c r="I648" s="1005"/>
      <c r="J648" s="1005"/>
      <c r="K648" s="1005"/>
      <c r="L648" s="1005"/>
      <c r="M648" s="1005"/>
    </row>
    <row r="649" spans="1:13">
      <c r="A649" s="2251" t="s">
        <v>864</v>
      </c>
      <c r="B649" s="2252"/>
      <c r="C649" s="1132">
        <v>20</v>
      </c>
      <c r="D649" s="1133">
        <v>39.81</v>
      </c>
      <c r="E649" s="2360"/>
      <c r="F649" s="2361"/>
      <c r="G649" s="2362"/>
      <c r="H649" s="1005"/>
      <c r="I649" s="1005"/>
      <c r="J649" s="1005"/>
      <c r="K649" s="1005"/>
      <c r="L649" s="1005"/>
      <c r="M649" s="1005"/>
    </row>
    <row r="650" spans="1:13">
      <c r="A650" s="2251" t="s">
        <v>403</v>
      </c>
      <c r="B650" s="2252"/>
      <c r="C650" s="1132">
        <v>18</v>
      </c>
      <c r="D650" s="1133">
        <v>39.81</v>
      </c>
      <c r="E650" s="2360"/>
      <c r="F650" s="2361"/>
      <c r="G650" s="2362"/>
      <c r="H650" s="1005"/>
      <c r="I650" s="1005"/>
      <c r="J650" s="1005"/>
      <c r="K650" s="1005"/>
      <c r="L650" s="1005"/>
      <c r="M650" s="1005"/>
    </row>
    <row r="651" spans="1:13">
      <c r="A651" s="2251" t="s">
        <v>865</v>
      </c>
      <c r="B651" s="2252"/>
      <c r="C651" s="1132">
        <v>11.7</v>
      </c>
      <c r="D651" s="1133">
        <v>39.81</v>
      </c>
      <c r="E651" s="2360"/>
      <c r="F651" s="2361"/>
      <c r="G651" s="2362"/>
      <c r="H651" s="1005"/>
      <c r="I651" s="1005"/>
      <c r="J651" s="1005"/>
      <c r="K651" s="1005"/>
      <c r="L651" s="1005"/>
      <c r="M651" s="1005"/>
    </row>
    <row r="652" spans="1:13">
      <c r="A652" s="2251" t="s">
        <v>866</v>
      </c>
      <c r="B652" s="2252"/>
      <c r="C652" s="1132">
        <v>7.4</v>
      </c>
      <c r="D652" s="1133">
        <v>39.81</v>
      </c>
      <c r="E652" s="2360"/>
      <c r="F652" s="2361"/>
      <c r="G652" s="2362"/>
      <c r="H652" s="1005"/>
      <c r="I652" s="1005"/>
      <c r="J652" s="1005"/>
      <c r="K652" s="1005"/>
      <c r="L652" s="1005"/>
      <c r="M652" s="1005"/>
    </row>
    <row r="653" spans="1:13">
      <c r="A653" s="2251" t="s">
        <v>867</v>
      </c>
      <c r="B653" s="2252"/>
      <c r="C653" s="1132">
        <v>13.39</v>
      </c>
      <c r="D653" s="1133">
        <v>39.81</v>
      </c>
      <c r="E653" s="2360"/>
      <c r="F653" s="2361"/>
      <c r="G653" s="2362"/>
      <c r="H653" s="1005"/>
      <c r="I653" s="1005"/>
      <c r="J653" s="1005"/>
      <c r="K653" s="1005"/>
      <c r="L653" s="1005"/>
      <c r="M653" s="1005"/>
    </row>
    <row r="654" spans="1:13">
      <c r="A654" s="2251" t="s">
        <v>868</v>
      </c>
      <c r="B654" s="2252"/>
      <c r="C654" s="1132">
        <v>3.05</v>
      </c>
      <c r="D654" s="1133">
        <v>39.81</v>
      </c>
      <c r="E654" s="2360"/>
      <c r="F654" s="2361"/>
      <c r="G654" s="2362"/>
      <c r="H654" s="1005"/>
      <c r="I654" s="1005"/>
      <c r="J654" s="1005"/>
      <c r="K654" s="1005"/>
      <c r="L654" s="1005"/>
      <c r="M654" s="1005"/>
    </row>
    <row r="655" spans="1:13">
      <c r="A655" s="2251" t="s">
        <v>869</v>
      </c>
      <c r="B655" s="2252"/>
      <c r="C655" s="1132">
        <v>3.05</v>
      </c>
      <c r="D655" s="1133">
        <v>39.81</v>
      </c>
      <c r="E655" s="2360"/>
      <c r="F655" s="2361"/>
      <c r="G655" s="2362"/>
      <c r="H655" s="1005"/>
      <c r="I655" s="1005"/>
      <c r="J655" s="1005"/>
      <c r="K655" s="1005"/>
      <c r="L655" s="1005"/>
      <c r="M655" s="1005"/>
    </row>
    <row r="656" spans="1:13">
      <c r="A656" s="2251" t="s">
        <v>870</v>
      </c>
      <c r="B656" s="2252"/>
      <c r="C656" s="1132">
        <v>13.39</v>
      </c>
      <c r="D656" s="1133">
        <v>39.81</v>
      </c>
      <c r="E656" s="2360"/>
      <c r="F656" s="2361"/>
      <c r="G656" s="2362"/>
      <c r="H656" s="1005"/>
      <c r="I656" s="1005"/>
      <c r="J656" s="1005"/>
      <c r="K656" s="1005"/>
      <c r="L656" s="1005"/>
      <c r="M656" s="1005"/>
    </row>
    <row r="657" spans="1:13" ht="15.75" thickBot="1">
      <c r="A657" s="1134"/>
      <c r="B657" s="1135"/>
      <c r="C657" s="1136" t="s">
        <v>324</v>
      </c>
      <c r="D657" s="1137">
        <f>SUM(D645:D656)</f>
        <v>477.72</v>
      </c>
      <c r="E657" s="2363"/>
      <c r="F657" s="2364"/>
      <c r="G657" s="2365"/>
      <c r="H657" s="1005"/>
      <c r="I657" s="1005"/>
      <c r="J657" s="1005"/>
      <c r="K657" s="1005"/>
      <c r="L657" s="1005"/>
      <c r="M657" s="1005"/>
    </row>
    <row r="658" spans="1:13" ht="15.75" thickBot="1">
      <c r="A658" s="1185"/>
      <c r="B658" s="1186"/>
      <c r="C658" s="1186"/>
      <c r="D658" s="1186"/>
      <c r="E658" s="1114"/>
      <c r="F658" s="1114"/>
      <c r="G658" s="1187"/>
      <c r="H658" s="1005"/>
      <c r="I658" s="1005"/>
      <c r="J658" s="1005"/>
      <c r="K658" s="1005"/>
      <c r="L658" s="1005"/>
      <c r="M658" s="1005"/>
    </row>
    <row r="659" spans="1:13" ht="15.75" thickBot="1">
      <c r="A659" s="1019" t="s">
        <v>622</v>
      </c>
      <c r="B659" s="2262" t="s">
        <v>2156</v>
      </c>
      <c r="C659" s="2263"/>
      <c r="D659" s="2263"/>
      <c r="E659" s="2263"/>
      <c r="F659" s="2263"/>
      <c r="G659" s="2264"/>
      <c r="H659" s="1005"/>
      <c r="I659" s="1188"/>
      <c r="J659" s="1005"/>
      <c r="K659" s="1005"/>
      <c r="L659" s="1005"/>
      <c r="M659" s="1005"/>
    </row>
    <row r="660" spans="1:13">
      <c r="A660" s="2304" t="s">
        <v>858</v>
      </c>
      <c r="B660" s="2305"/>
      <c r="C660" s="2305"/>
      <c r="D660" s="2305"/>
      <c r="E660" s="2305"/>
      <c r="F660" s="2305"/>
      <c r="G660" s="2306"/>
      <c r="H660" s="1005"/>
      <c r="I660" s="1005"/>
      <c r="J660" s="1005"/>
      <c r="K660" s="1005"/>
      <c r="L660" s="1005"/>
      <c r="M660" s="1005"/>
    </row>
    <row r="661" spans="1:13">
      <c r="A661" s="2268" t="s">
        <v>407</v>
      </c>
      <c r="B661" s="2269"/>
      <c r="C661" s="2269"/>
      <c r="D661" s="2269"/>
      <c r="E661" s="2269"/>
      <c r="F661" s="2269"/>
      <c r="G661" s="2270"/>
      <c r="H661" s="1005"/>
      <c r="I661" s="1005"/>
      <c r="J661" s="1005"/>
      <c r="K661" s="1005"/>
      <c r="L661" s="1005"/>
      <c r="M661" s="1005"/>
    </row>
    <row r="662" spans="1:13">
      <c r="A662" s="2271" t="s">
        <v>408</v>
      </c>
      <c r="B662" s="2272"/>
      <c r="C662" s="1035" t="s">
        <v>339</v>
      </c>
      <c r="D662" s="1035" t="s">
        <v>322</v>
      </c>
      <c r="E662" s="2273" t="s">
        <v>323</v>
      </c>
      <c r="F662" s="2274"/>
      <c r="G662" s="2275"/>
      <c r="H662" s="1005"/>
      <c r="I662" s="1005"/>
      <c r="J662" s="1005"/>
      <c r="K662" s="1005"/>
      <c r="L662" s="1005"/>
      <c r="M662" s="1005"/>
    </row>
    <row r="663" spans="1:13">
      <c r="A663" s="2251" t="s">
        <v>859</v>
      </c>
      <c r="B663" s="2252"/>
      <c r="C663" s="1132">
        <v>24.3</v>
      </c>
      <c r="D663" s="1133">
        <v>39.81</v>
      </c>
      <c r="E663" s="2357" t="s">
        <v>860</v>
      </c>
      <c r="F663" s="2358"/>
      <c r="G663" s="2359"/>
      <c r="H663" s="1005"/>
      <c r="I663" s="1005"/>
      <c r="J663" s="1005"/>
      <c r="K663" s="1005"/>
      <c r="L663" s="1005"/>
      <c r="M663" s="1005"/>
    </row>
    <row r="664" spans="1:13">
      <c r="A664" s="2251" t="s">
        <v>861</v>
      </c>
      <c r="B664" s="2252"/>
      <c r="C664" s="1132">
        <v>35.700000000000003</v>
      </c>
      <c r="D664" s="1133">
        <v>39.81</v>
      </c>
      <c r="E664" s="2360"/>
      <c r="F664" s="2361"/>
      <c r="G664" s="2362"/>
      <c r="H664" s="1005"/>
      <c r="I664" s="1005"/>
      <c r="J664" s="1005"/>
      <c r="K664" s="1005"/>
      <c r="L664" s="1005"/>
      <c r="M664" s="1005"/>
    </row>
    <row r="665" spans="1:13">
      <c r="A665" s="2251" t="s">
        <v>862</v>
      </c>
      <c r="B665" s="2252"/>
      <c r="C665" s="1132">
        <v>13</v>
      </c>
      <c r="D665" s="1133">
        <v>39.81</v>
      </c>
      <c r="E665" s="2360"/>
      <c r="F665" s="2361"/>
      <c r="G665" s="2362"/>
      <c r="H665" s="1005"/>
      <c r="I665" s="1005"/>
      <c r="J665" s="1005"/>
      <c r="K665" s="1005"/>
      <c r="L665" s="1005"/>
      <c r="M665" s="1005"/>
    </row>
    <row r="666" spans="1:13">
      <c r="A666" s="2251" t="s">
        <v>863</v>
      </c>
      <c r="B666" s="2252"/>
      <c r="C666" s="1132">
        <v>16</v>
      </c>
      <c r="D666" s="1133">
        <v>39.81</v>
      </c>
      <c r="E666" s="2360"/>
      <c r="F666" s="2361"/>
      <c r="G666" s="2362"/>
      <c r="H666" s="1005"/>
      <c r="I666" s="1005"/>
      <c r="J666" s="1005"/>
      <c r="K666" s="1005"/>
      <c r="L666" s="1005"/>
      <c r="M666" s="1005"/>
    </row>
    <row r="667" spans="1:13">
      <c r="A667" s="2251" t="s">
        <v>864</v>
      </c>
      <c r="B667" s="2252"/>
      <c r="C667" s="1132">
        <v>20</v>
      </c>
      <c r="D667" s="1133">
        <v>39.81</v>
      </c>
      <c r="E667" s="2360"/>
      <c r="F667" s="2361"/>
      <c r="G667" s="2362"/>
      <c r="H667" s="1005"/>
      <c r="I667" s="1005"/>
      <c r="J667" s="1005"/>
      <c r="K667" s="1005"/>
      <c r="L667" s="1005"/>
      <c r="M667" s="1005"/>
    </row>
    <row r="668" spans="1:13">
      <c r="A668" s="2251" t="s">
        <v>403</v>
      </c>
      <c r="B668" s="2252"/>
      <c r="C668" s="1132">
        <v>18</v>
      </c>
      <c r="D668" s="1133">
        <v>39.81</v>
      </c>
      <c r="E668" s="2360"/>
      <c r="F668" s="2361"/>
      <c r="G668" s="2362"/>
      <c r="H668" s="1005"/>
      <c r="I668" s="1005"/>
      <c r="J668" s="1005"/>
      <c r="K668" s="1005"/>
      <c r="L668" s="1005"/>
      <c r="M668" s="1005"/>
    </row>
    <row r="669" spans="1:13">
      <c r="A669" s="2251" t="s">
        <v>865</v>
      </c>
      <c r="B669" s="2252"/>
      <c r="C669" s="1132">
        <v>11.7</v>
      </c>
      <c r="D669" s="1133">
        <v>39.81</v>
      </c>
      <c r="E669" s="2360"/>
      <c r="F669" s="2361"/>
      <c r="G669" s="2362"/>
      <c r="H669" s="1005"/>
      <c r="I669" s="1005"/>
      <c r="J669" s="1005"/>
      <c r="K669" s="1005"/>
      <c r="L669" s="1005"/>
      <c r="M669" s="1005"/>
    </row>
    <row r="670" spans="1:13">
      <c r="A670" s="2251" t="s">
        <v>866</v>
      </c>
      <c r="B670" s="2252"/>
      <c r="C670" s="1132">
        <v>7.4</v>
      </c>
      <c r="D670" s="1133">
        <v>39.81</v>
      </c>
      <c r="E670" s="2360"/>
      <c r="F670" s="2361"/>
      <c r="G670" s="2362"/>
      <c r="H670" s="1005"/>
      <c r="I670" s="1005"/>
      <c r="J670" s="1005"/>
      <c r="K670" s="1005"/>
      <c r="L670" s="1005"/>
      <c r="M670" s="1005"/>
    </row>
    <row r="671" spans="1:13">
      <c r="A671" s="2251" t="s">
        <v>867</v>
      </c>
      <c r="B671" s="2252"/>
      <c r="C671" s="1132">
        <v>13.39</v>
      </c>
      <c r="D671" s="1133">
        <v>39.81</v>
      </c>
      <c r="E671" s="2360"/>
      <c r="F671" s="2361"/>
      <c r="G671" s="2362"/>
      <c r="H671" s="1005"/>
      <c r="I671" s="1005"/>
      <c r="J671" s="1005"/>
      <c r="K671" s="1005"/>
      <c r="L671" s="1005"/>
      <c r="M671" s="1005"/>
    </row>
    <row r="672" spans="1:13">
      <c r="A672" s="2251" t="s">
        <v>868</v>
      </c>
      <c r="B672" s="2252"/>
      <c r="C672" s="1132">
        <v>3.05</v>
      </c>
      <c r="D672" s="1133">
        <v>39.81</v>
      </c>
      <c r="E672" s="2360"/>
      <c r="F672" s="2361"/>
      <c r="G672" s="2362"/>
      <c r="H672" s="1005"/>
      <c r="I672" s="1005"/>
      <c r="J672" s="1005"/>
      <c r="K672" s="1005"/>
      <c r="L672" s="1005"/>
      <c r="M672" s="1005"/>
    </row>
    <row r="673" spans="1:13">
      <c r="A673" s="2251" t="s">
        <v>869</v>
      </c>
      <c r="B673" s="2252"/>
      <c r="C673" s="1132">
        <v>3.05</v>
      </c>
      <c r="D673" s="1133">
        <v>39.81</v>
      </c>
      <c r="E673" s="2360"/>
      <c r="F673" s="2361"/>
      <c r="G673" s="2362"/>
      <c r="H673" s="1005"/>
      <c r="I673" s="1005"/>
      <c r="J673" s="1005"/>
      <c r="K673" s="1005"/>
      <c r="L673" s="1005"/>
      <c r="M673" s="1005"/>
    </row>
    <row r="674" spans="1:13">
      <c r="A674" s="2251" t="s">
        <v>870</v>
      </c>
      <c r="B674" s="2252"/>
      <c r="C674" s="1132">
        <v>13.39</v>
      </c>
      <c r="D674" s="1133">
        <v>39.81</v>
      </c>
      <c r="E674" s="2360"/>
      <c r="F674" s="2361"/>
      <c r="G674" s="2362"/>
      <c r="H674" s="1005"/>
      <c r="I674" s="1005"/>
      <c r="J674" s="1005"/>
      <c r="K674" s="1005"/>
      <c r="L674" s="1005"/>
      <c r="M674" s="1005"/>
    </row>
    <row r="675" spans="1:13" ht="15.75" thickBot="1">
      <c r="A675" s="1134"/>
      <c r="B675" s="1135"/>
      <c r="C675" s="1136" t="s">
        <v>324</v>
      </c>
      <c r="D675" s="1137">
        <f>SUM(D663:D674)</f>
        <v>477.72</v>
      </c>
      <c r="E675" s="2363"/>
      <c r="F675" s="2364"/>
      <c r="G675" s="2365"/>
      <c r="H675" s="1005"/>
      <c r="I675" s="1005"/>
      <c r="J675" s="1005"/>
      <c r="K675" s="1005"/>
      <c r="L675" s="1005"/>
      <c r="M675" s="1005"/>
    </row>
    <row r="676" spans="1:13" ht="15.75" thickBot="1">
      <c r="A676" s="1189"/>
      <c r="B676" s="1190"/>
      <c r="C676" s="1190"/>
      <c r="D676" s="1190"/>
      <c r="E676" s="1190"/>
      <c r="F676" s="1190"/>
      <c r="G676" s="1191"/>
      <c r="H676" s="1005"/>
      <c r="I676" s="1005"/>
      <c r="J676" s="1005"/>
      <c r="K676" s="1005"/>
      <c r="L676" s="1005"/>
      <c r="M676" s="1005"/>
    </row>
    <row r="677" spans="1:13" ht="15.75" thickBot="1">
      <c r="A677" s="1019">
        <v>10</v>
      </c>
      <c r="B677" s="2262" t="s">
        <v>405</v>
      </c>
      <c r="C677" s="2263"/>
      <c r="D677" s="2263"/>
      <c r="E677" s="2263"/>
      <c r="F677" s="2263"/>
      <c r="G677" s="2264"/>
      <c r="H677" s="1005"/>
      <c r="I677" s="1005"/>
      <c r="J677" s="1005"/>
      <c r="K677" s="1005"/>
      <c r="L677" s="1005"/>
      <c r="M677" s="1005"/>
    </row>
    <row r="678" spans="1:13" ht="15.75" thickBot="1">
      <c r="A678" s="1019" t="s">
        <v>78</v>
      </c>
      <c r="B678" s="2262" t="s">
        <v>871</v>
      </c>
      <c r="C678" s="2263"/>
      <c r="D678" s="2263"/>
      <c r="E678" s="2263"/>
      <c r="F678" s="2263"/>
      <c r="G678" s="2264"/>
      <c r="H678" s="1005"/>
      <c r="I678" s="1005"/>
      <c r="J678" s="1005"/>
      <c r="K678" s="1005"/>
      <c r="L678" s="1005"/>
      <c r="M678" s="1005"/>
    </row>
    <row r="679" spans="1:13">
      <c r="A679" s="2265" t="s">
        <v>406</v>
      </c>
      <c r="B679" s="2266"/>
      <c r="C679" s="2266"/>
      <c r="D679" s="2266"/>
      <c r="E679" s="2266"/>
      <c r="F679" s="2266"/>
      <c r="G679" s="2267"/>
      <c r="H679" s="1005"/>
      <c r="I679" s="1005"/>
      <c r="J679" s="1005"/>
      <c r="K679" s="1005"/>
      <c r="L679" s="1005"/>
      <c r="M679" s="1005"/>
    </row>
    <row r="680" spans="1:13">
      <c r="A680" s="2268" t="s">
        <v>407</v>
      </c>
      <c r="B680" s="2269"/>
      <c r="C680" s="2269"/>
      <c r="D680" s="2269"/>
      <c r="E680" s="2269"/>
      <c r="F680" s="2269"/>
      <c r="G680" s="2270"/>
      <c r="H680" s="1005"/>
      <c r="I680" s="1005"/>
      <c r="J680" s="1005"/>
      <c r="K680" s="1005"/>
      <c r="L680" s="1005"/>
      <c r="M680" s="1005"/>
    </row>
    <row r="681" spans="1:13" ht="24">
      <c r="A681" s="2271" t="s">
        <v>408</v>
      </c>
      <c r="B681" s="2272"/>
      <c r="C681" s="1035" t="s">
        <v>322</v>
      </c>
      <c r="D681" s="1035" t="s">
        <v>872</v>
      </c>
      <c r="E681" s="2273" t="s">
        <v>323</v>
      </c>
      <c r="F681" s="2274"/>
      <c r="G681" s="2275"/>
      <c r="H681" s="1005"/>
      <c r="I681" s="1005"/>
      <c r="J681" s="1005"/>
      <c r="K681" s="1005"/>
      <c r="L681" s="1005"/>
      <c r="M681" s="1005"/>
    </row>
    <row r="682" spans="1:13" ht="27" customHeight="1">
      <c r="A682" s="2251" t="s">
        <v>873</v>
      </c>
      <c r="B682" s="2252"/>
      <c r="C682" s="1095" t="s">
        <v>874</v>
      </c>
      <c r="D682" s="1071">
        <f>3.18+2.78+2.78</f>
        <v>8.74</v>
      </c>
      <c r="E682" s="2278" t="s">
        <v>415</v>
      </c>
      <c r="F682" s="2279"/>
      <c r="G682" s="2280"/>
      <c r="H682" s="1005"/>
      <c r="I682" s="1005"/>
      <c r="J682" s="1005"/>
      <c r="K682" s="1005"/>
      <c r="L682" s="1005"/>
      <c r="M682" s="1005"/>
    </row>
    <row r="683" spans="1:13">
      <c r="A683" s="2251" t="s">
        <v>875</v>
      </c>
      <c r="B683" s="2252"/>
      <c r="C683" s="1095" t="s">
        <v>876</v>
      </c>
      <c r="D683" s="1071">
        <f>7.7+7.68+7.68</f>
        <v>23.06</v>
      </c>
      <c r="E683" s="2278" t="s">
        <v>416</v>
      </c>
      <c r="F683" s="2279"/>
      <c r="G683" s="2280"/>
      <c r="H683" s="1005"/>
      <c r="I683" s="1005"/>
      <c r="J683" s="1005"/>
      <c r="K683" s="1005"/>
      <c r="L683" s="1005"/>
      <c r="M683" s="1005"/>
    </row>
    <row r="684" spans="1:13" ht="48">
      <c r="A684" s="2251" t="s">
        <v>877</v>
      </c>
      <c r="B684" s="2252"/>
      <c r="C684" s="1095" t="s">
        <v>878</v>
      </c>
      <c r="D684" s="1071">
        <f>34.87+72.37+10.55+16+19.64+20+30.21+10.61</f>
        <v>214.25</v>
      </c>
      <c r="E684" s="2278" t="s">
        <v>417</v>
      </c>
      <c r="F684" s="2279"/>
      <c r="G684" s="2280"/>
      <c r="H684" s="1005"/>
      <c r="I684" s="1005">
        <f>8.74+23.06+214.25</f>
        <v>246.05</v>
      </c>
      <c r="J684" s="1005"/>
      <c r="K684" s="1005"/>
      <c r="L684" s="1005"/>
      <c r="M684" s="1005"/>
    </row>
    <row r="685" spans="1:13" ht="31.5" customHeight="1">
      <c r="A685" s="2251" t="s">
        <v>879</v>
      </c>
      <c r="B685" s="2252"/>
      <c r="C685" s="1156" t="s">
        <v>880</v>
      </c>
      <c r="D685" s="1132">
        <f>66.73+13.7+31.95+4.46+68.14+108.42</f>
        <v>293.40000000000003</v>
      </c>
      <c r="E685" s="2278" t="s">
        <v>881</v>
      </c>
      <c r="F685" s="2279"/>
      <c r="G685" s="2280"/>
      <c r="H685" s="1005"/>
      <c r="I685" s="1005"/>
      <c r="J685" s="1005"/>
      <c r="K685" s="1005"/>
      <c r="L685" s="1005"/>
      <c r="M685" s="1005"/>
    </row>
    <row r="686" spans="1:13">
      <c r="A686" s="2334"/>
      <c r="B686" s="2335"/>
      <c r="C686" s="1132"/>
      <c r="D686" s="1132"/>
      <c r="E686" s="2253"/>
      <c r="F686" s="2254"/>
      <c r="G686" s="2255"/>
      <c r="H686" s="1005"/>
      <c r="I686" s="1005"/>
      <c r="J686" s="1005"/>
      <c r="K686" s="1005"/>
      <c r="L686" s="1005"/>
      <c r="M686" s="1005"/>
    </row>
    <row r="687" spans="1:13" ht="15.75" thickBot="1">
      <c r="A687" s="2256" t="s">
        <v>404</v>
      </c>
      <c r="B687" s="2257"/>
      <c r="C687" s="2258"/>
      <c r="D687" s="1192">
        <f>SUM(D682:D686)</f>
        <v>539.45000000000005</v>
      </c>
      <c r="E687" s="2321"/>
      <c r="F687" s="2322"/>
      <c r="G687" s="2323"/>
      <c r="H687" s="1005"/>
      <c r="I687" s="1005"/>
      <c r="J687" s="1005"/>
      <c r="K687" s="1005"/>
      <c r="L687" s="1005"/>
      <c r="M687" s="1005"/>
    </row>
    <row r="688" spans="1:13" ht="15.75" thickBot="1">
      <c r="A688" s="1138"/>
      <c r="B688" s="1126"/>
      <c r="C688" s="1126"/>
      <c r="D688" s="1082"/>
      <c r="E688" s="1125"/>
      <c r="F688" s="1125"/>
      <c r="G688" s="1193"/>
      <c r="H688" s="1005"/>
      <c r="I688" s="1005"/>
      <c r="J688" s="1005"/>
      <c r="K688" s="1005"/>
      <c r="L688" s="1005"/>
      <c r="M688" s="1005"/>
    </row>
    <row r="689" spans="1:13" ht="15.75" thickBot="1">
      <c r="A689" s="1019" t="s">
        <v>79</v>
      </c>
      <c r="B689" s="2262" t="s">
        <v>409</v>
      </c>
      <c r="C689" s="2263"/>
      <c r="D689" s="2263"/>
      <c r="E689" s="2263"/>
      <c r="F689" s="2263"/>
      <c r="G689" s="2264"/>
      <c r="H689" s="1005"/>
      <c r="I689" s="1005"/>
      <c r="J689" s="1005"/>
      <c r="K689" s="1005"/>
      <c r="L689" s="1005"/>
      <c r="M689" s="1005"/>
    </row>
    <row r="690" spans="1:13">
      <c r="A690" s="2265" t="s">
        <v>406</v>
      </c>
      <c r="B690" s="2266"/>
      <c r="C690" s="2266"/>
      <c r="D690" s="2266"/>
      <c r="E690" s="2266"/>
      <c r="F690" s="2266"/>
      <c r="G690" s="2267"/>
      <c r="H690" s="1005"/>
      <c r="I690" s="1005"/>
      <c r="J690" s="1005"/>
      <c r="K690" s="1005"/>
      <c r="L690" s="1005"/>
      <c r="M690" s="1005"/>
    </row>
    <row r="691" spans="1:13">
      <c r="A691" s="2268" t="s">
        <v>407</v>
      </c>
      <c r="B691" s="2269"/>
      <c r="C691" s="2269"/>
      <c r="D691" s="2269"/>
      <c r="E691" s="2269"/>
      <c r="F691" s="2269"/>
      <c r="G691" s="2270"/>
      <c r="H691" s="1005"/>
      <c r="I691" s="1005"/>
      <c r="J691" s="1005"/>
      <c r="K691" s="1005"/>
      <c r="L691" s="1005"/>
      <c r="M691" s="1005"/>
    </row>
    <row r="692" spans="1:13" ht="24">
      <c r="A692" s="2271" t="s">
        <v>408</v>
      </c>
      <c r="B692" s="2272"/>
      <c r="C692" s="1035" t="s">
        <v>322</v>
      </c>
      <c r="D692" s="1035" t="s">
        <v>872</v>
      </c>
      <c r="E692" s="2273" t="s">
        <v>323</v>
      </c>
      <c r="F692" s="2274"/>
      <c r="G692" s="2275"/>
      <c r="H692" s="1005"/>
      <c r="I692" s="1005"/>
      <c r="J692" s="1005"/>
      <c r="K692" s="1005"/>
      <c r="L692" s="1005"/>
      <c r="M692" s="1005"/>
    </row>
    <row r="693" spans="1:13" ht="27.75" customHeight="1">
      <c r="A693" s="2251" t="s">
        <v>873</v>
      </c>
      <c r="B693" s="2252"/>
      <c r="C693" s="1095" t="s">
        <v>874</v>
      </c>
      <c r="D693" s="1071">
        <f>3.18+2.78+2.78</f>
        <v>8.74</v>
      </c>
      <c r="E693" s="2278" t="s">
        <v>415</v>
      </c>
      <c r="F693" s="2279"/>
      <c r="G693" s="2280"/>
      <c r="H693" s="1005"/>
      <c r="I693" s="1005"/>
      <c r="J693" s="1005"/>
      <c r="K693" s="1005"/>
      <c r="L693" s="1005"/>
      <c r="M693" s="1005"/>
    </row>
    <row r="694" spans="1:13">
      <c r="A694" s="2251" t="s">
        <v>875</v>
      </c>
      <c r="B694" s="2252"/>
      <c r="C694" s="1095" t="s">
        <v>876</v>
      </c>
      <c r="D694" s="1071">
        <f>7.7+7.68+7.68</f>
        <v>23.06</v>
      </c>
      <c r="E694" s="2278" t="s">
        <v>416</v>
      </c>
      <c r="F694" s="2279"/>
      <c r="G694" s="2280"/>
      <c r="H694" s="1005"/>
      <c r="I694" s="1005"/>
      <c r="J694" s="1005"/>
      <c r="K694" s="1005"/>
      <c r="L694" s="1005"/>
      <c r="M694" s="1005"/>
    </row>
    <row r="695" spans="1:13" ht="48">
      <c r="A695" s="2251" t="s">
        <v>877</v>
      </c>
      <c r="B695" s="2252"/>
      <c r="C695" s="1095" t="s">
        <v>878</v>
      </c>
      <c r="D695" s="1071">
        <f>34.87+72.37+10.55+16+19.64+20+30.21+10.61</f>
        <v>214.25</v>
      </c>
      <c r="E695" s="2278" t="s">
        <v>417</v>
      </c>
      <c r="F695" s="2279"/>
      <c r="G695" s="2280"/>
      <c r="H695" s="1005"/>
      <c r="I695" s="1005">
        <f>8.74+23.06+214.25</f>
        <v>246.05</v>
      </c>
      <c r="J695" s="1005"/>
      <c r="K695" s="1005"/>
      <c r="L695" s="1005"/>
      <c r="M695" s="1005"/>
    </row>
    <row r="696" spans="1:13" ht="24">
      <c r="A696" s="2251" t="s">
        <v>882</v>
      </c>
      <c r="B696" s="2252"/>
      <c r="C696" s="1156" t="s">
        <v>883</v>
      </c>
      <c r="D696" s="1132">
        <f>66.73+13.7+31.95+4.46</f>
        <v>116.84</v>
      </c>
      <c r="E696" s="2278" t="s">
        <v>881</v>
      </c>
      <c r="F696" s="2279"/>
      <c r="G696" s="2280"/>
      <c r="H696" s="1005"/>
      <c r="I696" s="1005"/>
      <c r="J696" s="1005"/>
      <c r="K696" s="1005"/>
      <c r="L696" s="1005"/>
      <c r="M696" s="1005"/>
    </row>
    <row r="697" spans="1:13" ht="15.75" thickBot="1">
      <c r="A697" s="2256" t="s">
        <v>404</v>
      </c>
      <c r="B697" s="2257"/>
      <c r="C697" s="2258"/>
      <c r="D697" s="1192">
        <f>SUM(D693:D696)</f>
        <v>362.89</v>
      </c>
      <c r="E697" s="2321"/>
      <c r="F697" s="2322"/>
      <c r="G697" s="2323"/>
      <c r="H697" s="1005"/>
      <c r="I697" s="1005"/>
      <c r="J697" s="1005"/>
      <c r="K697" s="1005"/>
      <c r="L697" s="1005"/>
      <c r="M697" s="1005"/>
    </row>
    <row r="698" spans="1:13" ht="15.75" thickBot="1">
      <c r="A698" s="2331"/>
      <c r="B698" s="2332"/>
      <c r="C698" s="2332"/>
      <c r="D698" s="2332"/>
      <c r="E698" s="2332"/>
      <c r="F698" s="2332"/>
      <c r="G698" s="2333"/>
      <c r="H698" s="1005"/>
      <c r="I698" s="1005"/>
      <c r="J698" s="1005"/>
      <c r="K698" s="1005"/>
      <c r="L698" s="1005"/>
      <c r="M698" s="1005"/>
    </row>
    <row r="699" spans="1:13" ht="15.75" thickBot="1">
      <c r="A699" s="1019" t="s">
        <v>80</v>
      </c>
      <c r="B699" s="2262" t="s">
        <v>884</v>
      </c>
      <c r="C699" s="2263"/>
      <c r="D699" s="2263"/>
      <c r="E699" s="2263"/>
      <c r="F699" s="2263"/>
      <c r="G699" s="2264"/>
      <c r="H699" s="1005"/>
      <c r="I699" s="1005"/>
      <c r="J699" s="1005"/>
      <c r="K699" s="1005"/>
      <c r="L699" s="1005"/>
      <c r="M699" s="1005"/>
    </row>
    <row r="700" spans="1:13">
      <c r="A700" s="2265" t="s">
        <v>406</v>
      </c>
      <c r="B700" s="2266"/>
      <c r="C700" s="2266"/>
      <c r="D700" s="2266"/>
      <c r="E700" s="2266"/>
      <c r="F700" s="2266"/>
      <c r="G700" s="2267"/>
      <c r="H700" s="1005"/>
      <c r="I700" s="1005"/>
      <c r="J700" s="1005"/>
      <c r="K700" s="1005"/>
      <c r="L700" s="1005"/>
      <c r="M700" s="1005"/>
    </row>
    <row r="701" spans="1:13">
      <c r="A701" s="2268" t="s">
        <v>407</v>
      </c>
      <c r="B701" s="2269"/>
      <c r="C701" s="2269"/>
      <c r="D701" s="2269"/>
      <c r="E701" s="2269"/>
      <c r="F701" s="2269"/>
      <c r="G701" s="2270"/>
      <c r="H701" s="1005"/>
      <c r="I701" s="1005"/>
      <c r="J701" s="1005"/>
      <c r="K701" s="1005"/>
      <c r="L701" s="1005"/>
      <c r="M701" s="1005"/>
    </row>
    <row r="702" spans="1:13" ht="24">
      <c r="A702" s="2271" t="s">
        <v>408</v>
      </c>
      <c r="B702" s="2272"/>
      <c r="C702" s="1035" t="s">
        <v>322</v>
      </c>
      <c r="D702" s="1035" t="s">
        <v>872</v>
      </c>
      <c r="E702" s="2273" t="s">
        <v>323</v>
      </c>
      <c r="F702" s="2274"/>
      <c r="G702" s="2275"/>
      <c r="H702" s="1005"/>
      <c r="I702" s="1005"/>
      <c r="J702" s="1005"/>
      <c r="K702" s="1005"/>
      <c r="L702" s="1005"/>
      <c r="M702" s="1005"/>
    </row>
    <row r="703" spans="1:13">
      <c r="A703" s="2251" t="s">
        <v>885</v>
      </c>
      <c r="B703" s="2252"/>
      <c r="C703" s="1095" t="s">
        <v>886</v>
      </c>
      <c r="D703" s="1071">
        <f>68.14+108.42</f>
        <v>176.56</v>
      </c>
      <c r="E703" s="2253"/>
      <c r="F703" s="2254"/>
      <c r="G703" s="2255"/>
      <c r="H703" s="1005"/>
      <c r="I703" s="1005"/>
      <c r="J703" s="1005"/>
      <c r="K703" s="1005"/>
      <c r="L703" s="1005"/>
      <c r="M703" s="1005"/>
    </row>
    <row r="704" spans="1:13" ht="15.75" thickBot="1">
      <c r="A704" s="2256" t="s">
        <v>404</v>
      </c>
      <c r="B704" s="2257"/>
      <c r="C704" s="2258"/>
      <c r="D704" s="1192">
        <f>SUM(D700:D703)</f>
        <v>176.56</v>
      </c>
      <c r="E704" s="2321"/>
      <c r="F704" s="2322"/>
      <c r="G704" s="2323"/>
      <c r="H704" s="1005"/>
      <c r="I704" s="1005"/>
      <c r="J704" s="1005"/>
      <c r="K704" s="1005"/>
      <c r="L704" s="1005"/>
      <c r="M704" s="1005"/>
    </row>
    <row r="705" spans="1:13" ht="15.75" thickBot="1">
      <c r="A705" s="1177"/>
      <c r="B705" s="1178"/>
      <c r="C705" s="1178"/>
      <c r="D705" s="1178"/>
      <c r="E705" s="1178"/>
      <c r="F705" s="1178"/>
      <c r="G705" s="1179"/>
      <c r="H705" s="1005"/>
      <c r="I705" s="1005"/>
      <c r="J705" s="1005"/>
      <c r="K705" s="1005"/>
      <c r="L705" s="1005"/>
      <c r="M705" s="1005"/>
    </row>
    <row r="706" spans="1:13" ht="15.75" thickBot="1">
      <c r="A706" s="1019" t="s">
        <v>81</v>
      </c>
      <c r="B706" s="2262" t="s">
        <v>887</v>
      </c>
      <c r="C706" s="2263"/>
      <c r="D706" s="2263"/>
      <c r="E706" s="2263"/>
      <c r="F706" s="2263"/>
      <c r="G706" s="2264"/>
      <c r="H706" s="1005"/>
      <c r="I706" s="1005"/>
      <c r="J706" s="1005"/>
      <c r="K706" s="1005"/>
      <c r="L706" s="1005"/>
      <c r="M706" s="1005"/>
    </row>
    <row r="707" spans="1:13">
      <c r="A707" s="2265" t="s">
        <v>406</v>
      </c>
      <c r="B707" s="2266"/>
      <c r="C707" s="2266"/>
      <c r="D707" s="2266"/>
      <c r="E707" s="2266"/>
      <c r="F707" s="2266"/>
      <c r="G707" s="2267"/>
      <c r="H707" s="1005"/>
      <c r="I707" s="1005"/>
      <c r="J707" s="1005"/>
      <c r="K707" s="1005"/>
      <c r="L707" s="1005"/>
      <c r="M707" s="1005"/>
    </row>
    <row r="708" spans="1:13">
      <c r="A708" s="2268" t="s">
        <v>407</v>
      </c>
      <c r="B708" s="2269"/>
      <c r="C708" s="2269"/>
      <c r="D708" s="2269"/>
      <c r="E708" s="2269"/>
      <c r="F708" s="2269"/>
      <c r="G708" s="2270"/>
      <c r="H708" s="1005"/>
      <c r="I708" s="1005"/>
      <c r="J708" s="1005"/>
      <c r="K708" s="1005"/>
      <c r="L708" s="1005"/>
      <c r="M708" s="1005"/>
    </row>
    <row r="709" spans="1:13" ht="24">
      <c r="A709" s="2271" t="s">
        <v>408</v>
      </c>
      <c r="B709" s="2272"/>
      <c r="C709" s="1035" t="s">
        <v>322</v>
      </c>
      <c r="D709" s="1035" t="s">
        <v>872</v>
      </c>
      <c r="E709" s="2273" t="s">
        <v>323</v>
      </c>
      <c r="F709" s="2274"/>
      <c r="G709" s="2275"/>
      <c r="H709" s="1005"/>
      <c r="I709" s="1005"/>
      <c r="J709" s="1005"/>
      <c r="K709" s="1005"/>
      <c r="L709" s="1005"/>
      <c r="M709" s="1005"/>
    </row>
    <row r="710" spans="1:13" ht="24" customHeight="1">
      <c r="A710" s="2251" t="s">
        <v>873</v>
      </c>
      <c r="B710" s="2252"/>
      <c r="C710" s="1095" t="s">
        <v>874</v>
      </c>
      <c r="D710" s="1071">
        <f>3.18+2.78+2.78</f>
        <v>8.74</v>
      </c>
      <c r="E710" s="2278" t="s">
        <v>415</v>
      </c>
      <c r="F710" s="2279"/>
      <c r="G710" s="2280"/>
      <c r="H710" s="1005"/>
      <c r="I710" s="1005"/>
      <c r="J710" s="1005"/>
      <c r="K710" s="1005"/>
      <c r="L710" s="1005"/>
      <c r="M710" s="1005"/>
    </row>
    <row r="711" spans="1:13">
      <c r="A711" s="2251" t="s">
        <v>875</v>
      </c>
      <c r="B711" s="2252"/>
      <c r="C711" s="1095" t="s">
        <v>876</v>
      </c>
      <c r="D711" s="1071">
        <f>7.7+7.68+7.68</f>
        <v>23.06</v>
      </c>
      <c r="E711" s="2278" t="s">
        <v>416</v>
      </c>
      <c r="F711" s="2279"/>
      <c r="G711" s="2280"/>
      <c r="H711" s="1005"/>
      <c r="I711" s="1005"/>
      <c r="J711" s="1005"/>
      <c r="K711" s="1005"/>
      <c r="L711" s="1005"/>
      <c r="M711" s="1005"/>
    </row>
    <row r="712" spans="1:13" ht="42.75" customHeight="1">
      <c r="A712" s="2251" t="s">
        <v>877</v>
      </c>
      <c r="B712" s="2252"/>
      <c r="C712" s="1095" t="s">
        <v>878</v>
      </c>
      <c r="D712" s="1071">
        <f>34.87+72.37+10.55+16+19.64+20+30.21+10.61</f>
        <v>214.25</v>
      </c>
      <c r="E712" s="2278" t="s">
        <v>417</v>
      </c>
      <c r="F712" s="2279"/>
      <c r="G712" s="2280"/>
      <c r="H712" s="1005"/>
      <c r="I712" s="1005"/>
      <c r="J712" s="1005"/>
      <c r="K712" s="1005"/>
      <c r="L712" s="1005"/>
      <c r="M712" s="1005"/>
    </row>
    <row r="713" spans="1:13" ht="15.75" thickBot="1">
      <c r="A713" s="2256" t="s">
        <v>404</v>
      </c>
      <c r="B713" s="2257"/>
      <c r="C713" s="2258"/>
      <c r="D713" s="1192">
        <f>SUM(D710:D712)</f>
        <v>246.05</v>
      </c>
      <c r="E713" s="2321"/>
      <c r="F713" s="2322"/>
      <c r="G713" s="2323"/>
      <c r="H713" s="1005"/>
      <c r="I713" s="1005"/>
      <c r="J713" s="1005"/>
      <c r="K713" s="1005"/>
      <c r="L713" s="1005"/>
      <c r="M713" s="1005"/>
    </row>
    <row r="714" spans="1:13" ht="15.75" thickBot="1">
      <c r="A714" s="1070"/>
      <c r="B714" s="1107"/>
      <c r="C714" s="1107"/>
      <c r="D714" s="1107"/>
      <c r="E714" s="1108"/>
      <c r="F714" s="1108"/>
      <c r="G714" s="1194"/>
      <c r="H714" s="1005"/>
      <c r="I714" s="1005"/>
      <c r="J714" s="1005"/>
      <c r="K714" s="1005"/>
      <c r="L714" s="1005"/>
      <c r="M714" s="1005"/>
    </row>
    <row r="715" spans="1:13" ht="15.75" thickBot="1">
      <c r="A715" s="1019" t="s">
        <v>262</v>
      </c>
      <c r="B715" s="2262" t="s">
        <v>888</v>
      </c>
      <c r="C715" s="2263"/>
      <c r="D715" s="2263"/>
      <c r="E715" s="2263"/>
      <c r="F715" s="2263"/>
      <c r="G715" s="2264"/>
      <c r="H715" s="1005"/>
      <c r="I715" s="1005"/>
      <c r="J715" s="1005"/>
      <c r="K715" s="1005"/>
      <c r="L715" s="1005"/>
      <c r="M715" s="1005"/>
    </row>
    <row r="716" spans="1:13">
      <c r="A716" s="2265" t="s">
        <v>406</v>
      </c>
      <c r="B716" s="2266"/>
      <c r="C716" s="2266"/>
      <c r="D716" s="2266"/>
      <c r="E716" s="2266"/>
      <c r="F716" s="2266"/>
      <c r="G716" s="2267"/>
      <c r="H716" s="1005"/>
      <c r="I716" s="1005"/>
      <c r="J716" s="1005"/>
      <c r="K716" s="1005"/>
      <c r="L716" s="1005"/>
      <c r="M716" s="1005"/>
    </row>
    <row r="717" spans="1:13">
      <c r="A717" s="2268" t="s">
        <v>407</v>
      </c>
      <c r="B717" s="2269"/>
      <c r="C717" s="2269"/>
      <c r="D717" s="2269"/>
      <c r="E717" s="2269"/>
      <c r="F717" s="2269"/>
      <c r="G717" s="2270"/>
      <c r="H717" s="1005"/>
      <c r="I717" s="1005"/>
      <c r="J717" s="1005"/>
      <c r="K717" s="1005"/>
      <c r="L717" s="1005"/>
      <c r="M717" s="1005"/>
    </row>
    <row r="718" spans="1:13" ht="24">
      <c r="A718" s="2271" t="s">
        <v>408</v>
      </c>
      <c r="B718" s="2272"/>
      <c r="C718" s="1035" t="s">
        <v>322</v>
      </c>
      <c r="D718" s="1035" t="s">
        <v>872</v>
      </c>
      <c r="E718" s="2273" t="s">
        <v>323</v>
      </c>
      <c r="F718" s="2274"/>
      <c r="G718" s="2275"/>
      <c r="H718" s="1005"/>
      <c r="I718" s="1005"/>
      <c r="J718" s="1005"/>
      <c r="K718" s="1005"/>
      <c r="L718" s="1005"/>
      <c r="M718" s="1005"/>
    </row>
    <row r="719" spans="1:13" ht="26.25" customHeight="1">
      <c r="A719" s="2251" t="s">
        <v>873</v>
      </c>
      <c r="B719" s="2252"/>
      <c r="C719" s="1095" t="s">
        <v>874</v>
      </c>
      <c r="D719" s="1071">
        <f>3.18+2.78+2.78</f>
        <v>8.74</v>
      </c>
      <c r="E719" s="2278" t="s">
        <v>415</v>
      </c>
      <c r="F719" s="2279"/>
      <c r="G719" s="2280"/>
      <c r="H719" s="1005"/>
      <c r="I719" s="1005"/>
      <c r="J719" s="1005"/>
      <c r="K719" s="1005"/>
      <c r="L719" s="1005"/>
      <c r="M719" s="1005"/>
    </row>
    <row r="720" spans="1:13">
      <c r="A720" s="2251" t="s">
        <v>875</v>
      </c>
      <c r="B720" s="2252"/>
      <c r="C720" s="1095" t="s">
        <v>876</v>
      </c>
      <c r="D720" s="1071">
        <f>7.7+7.68+7.68</f>
        <v>23.06</v>
      </c>
      <c r="E720" s="2278" t="s">
        <v>416</v>
      </c>
      <c r="F720" s="2279"/>
      <c r="G720" s="2280"/>
      <c r="H720" s="1005"/>
      <c r="I720" s="1005"/>
      <c r="J720" s="1005"/>
      <c r="K720" s="1005"/>
      <c r="L720" s="1005"/>
      <c r="M720" s="1005"/>
    </row>
    <row r="721" spans="1:13" ht="48">
      <c r="A721" s="2251" t="s">
        <v>877</v>
      </c>
      <c r="B721" s="2252"/>
      <c r="C721" s="1095" t="s">
        <v>878</v>
      </c>
      <c r="D721" s="1071">
        <f>34.87+72.37+10.55+16+19.64+20+30.21+10.61</f>
        <v>214.25</v>
      </c>
      <c r="E721" s="2278" t="s">
        <v>417</v>
      </c>
      <c r="F721" s="2279"/>
      <c r="G721" s="2280"/>
      <c r="H721" s="1005"/>
      <c r="I721" s="1005"/>
      <c r="J721" s="1005"/>
      <c r="K721" s="1005"/>
      <c r="L721" s="1005"/>
      <c r="M721" s="1005"/>
    </row>
    <row r="722" spans="1:13" ht="15.75" thickBot="1">
      <c r="A722" s="2256" t="s">
        <v>404</v>
      </c>
      <c r="B722" s="2257"/>
      <c r="C722" s="2258"/>
      <c r="D722" s="1192">
        <f>SUM(D719:D721)</f>
        <v>246.05</v>
      </c>
      <c r="E722" s="2321"/>
      <c r="F722" s="2322"/>
      <c r="G722" s="2323"/>
      <c r="H722" s="1005"/>
      <c r="I722" s="1005"/>
      <c r="J722" s="1005"/>
      <c r="K722" s="1005"/>
      <c r="L722" s="1005"/>
      <c r="M722" s="1005"/>
    </row>
    <row r="723" spans="1:13" ht="15.75" thickBot="1">
      <c r="A723" s="1195"/>
      <c r="B723" s="1108"/>
      <c r="C723" s="1108"/>
      <c r="D723" s="1086"/>
      <c r="E723" s="1142"/>
      <c r="F723" s="1142"/>
      <c r="G723" s="1196"/>
      <c r="H723" s="1005"/>
      <c r="I723" s="1005"/>
      <c r="J723" s="1005"/>
      <c r="K723" s="1005"/>
      <c r="L723" s="1005"/>
      <c r="M723" s="1005"/>
    </row>
    <row r="724" spans="1:13" ht="15.75" thickBot="1">
      <c r="A724" s="1019" t="s">
        <v>263</v>
      </c>
      <c r="B724" s="2262" t="s">
        <v>889</v>
      </c>
      <c r="C724" s="2263"/>
      <c r="D724" s="2263"/>
      <c r="E724" s="2263"/>
      <c r="F724" s="2263"/>
      <c r="G724" s="2264"/>
      <c r="H724" s="1005"/>
      <c r="I724" s="1005"/>
      <c r="J724" s="1005"/>
      <c r="K724" s="1005"/>
      <c r="L724" s="1005"/>
      <c r="M724" s="1005"/>
    </row>
    <row r="725" spans="1:13">
      <c r="A725" s="2265" t="s">
        <v>890</v>
      </c>
      <c r="B725" s="2266"/>
      <c r="C725" s="2266"/>
      <c r="D725" s="2266"/>
      <c r="E725" s="2266"/>
      <c r="F725" s="2266"/>
      <c r="G725" s="2267"/>
      <c r="H725" s="1005"/>
      <c r="I725" s="1005"/>
      <c r="J725" s="1005"/>
      <c r="K725" s="1005"/>
      <c r="L725" s="1005"/>
      <c r="M725" s="1005"/>
    </row>
    <row r="726" spans="1:13">
      <c r="A726" s="2268" t="s">
        <v>891</v>
      </c>
      <c r="B726" s="2269"/>
      <c r="C726" s="2269"/>
      <c r="D726" s="2269"/>
      <c r="E726" s="2269"/>
      <c r="F726" s="2269"/>
      <c r="G726" s="2270"/>
      <c r="H726" s="1005"/>
      <c r="I726" s="1005"/>
      <c r="J726" s="1005"/>
      <c r="K726" s="1005"/>
      <c r="L726" s="1005"/>
      <c r="M726" s="1005"/>
    </row>
    <row r="727" spans="1:13" ht="36">
      <c r="A727" s="2271" t="s">
        <v>408</v>
      </c>
      <c r="B727" s="2272"/>
      <c r="C727" s="1035" t="s">
        <v>892</v>
      </c>
      <c r="D727" s="1035" t="s">
        <v>893</v>
      </c>
      <c r="E727" s="1035" t="s">
        <v>375</v>
      </c>
      <c r="F727" s="2273" t="s">
        <v>323</v>
      </c>
      <c r="G727" s="2275"/>
      <c r="H727" s="1005"/>
      <c r="I727" s="1005"/>
      <c r="J727" s="1005"/>
      <c r="K727" s="1005"/>
      <c r="L727" s="1005"/>
      <c r="M727" s="1005"/>
    </row>
    <row r="728" spans="1:13">
      <c r="A728" s="2355" t="s">
        <v>894</v>
      </c>
      <c r="B728" s="2356"/>
      <c r="C728" s="2413" t="s">
        <v>2163</v>
      </c>
      <c r="D728" s="2413" t="s">
        <v>895</v>
      </c>
      <c r="E728" s="2416">
        <f>(15.7+19.2+15.2+12.2+33.6+22.7+13.3)*0.15</f>
        <v>19.785</v>
      </c>
      <c r="F728" s="2310"/>
      <c r="G728" s="2312"/>
      <c r="H728" s="1005"/>
      <c r="I728" s="1005">
        <f>15.7+19.2+15.2+12.2+33.6+22.7+13.3</f>
        <v>131.9</v>
      </c>
      <c r="J728" s="1005">
        <f>131.9*0.15</f>
        <v>19.785</v>
      </c>
      <c r="K728" s="1005"/>
      <c r="L728" s="1005"/>
      <c r="M728" s="1005"/>
    </row>
    <row r="729" spans="1:13">
      <c r="A729" s="2409"/>
      <c r="B729" s="2410"/>
      <c r="C729" s="2414"/>
      <c r="D729" s="2414"/>
      <c r="E729" s="2417"/>
      <c r="F729" s="2366"/>
      <c r="G729" s="2368"/>
      <c r="H729" s="1005"/>
      <c r="I729" s="1005"/>
      <c r="J729" s="1005"/>
      <c r="K729" s="1005"/>
      <c r="L729" s="1005"/>
      <c r="M729" s="1005"/>
    </row>
    <row r="730" spans="1:13">
      <c r="A730" s="2411"/>
      <c r="B730" s="2412"/>
      <c r="C730" s="2415"/>
      <c r="D730" s="2415"/>
      <c r="E730" s="2418"/>
      <c r="F730" s="2313"/>
      <c r="G730" s="2315"/>
      <c r="H730" s="1005"/>
      <c r="I730" s="1005"/>
      <c r="J730" s="1005"/>
      <c r="K730" s="1005"/>
      <c r="L730" s="1005"/>
      <c r="M730" s="1005"/>
    </row>
    <row r="731" spans="1:13" ht="15.75" thickBot="1">
      <c r="A731" s="2256" t="s">
        <v>404</v>
      </c>
      <c r="B731" s="2257"/>
      <c r="C731" s="2258"/>
      <c r="D731" s="1192">
        <f>E728</f>
        <v>19.785</v>
      </c>
      <c r="E731" s="1151"/>
      <c r="F731" s="1197"/>
      <c r="G731" s="1152"/>
      <c r="H731" s="1005"/>
      <c r="I731" s="1005"/>
      <c r="J731" s="1005"/>
      <c r="K731" s="1005"/>
      <c r="L731" s="1005"/>
      <c r="M731" s="1005"/>
    </row>
    <row r="732" spans="1:13" ht="15.75" thickBot="1">
      <c r="A732" s="1195"/>
      <c r="B732" s="1108"/>
      <c r="C732" s="1108"/>
      <c r="D732" s="1086"/>
      <c r="E732" s="1142"/>
      <c r="F732" s="1142"/>
      <c r="G732" s="1196"/>
      <c r="H732" s="1005"/>
      <c r="I732" s="1005"/>
      <c r="J732" s="1005"/>
      <c r="K732" s="1005"/>
      <c r="L732" s="1005"/>
      <c r="M732" s="1005"/>
    </row>
    <row r="733" spans="1:13" ht="15.75" thickBot="1">
      <c r="A733" s="1019">
        <v>11</v>
      </c>
      <c r="B733" s="2262" t="s">
        <v>896</v>
      </c>
      <c r="C733" s="2263"/>
      <c r="D733" s="2263"/>
      <c r="E733" s="2263"/>
      <c r="F733" s="2263"/>
      <c r="G733" s="2264"/>
      <c r="H733" s="1005"/>
      <c r="I733" s="1005"/>
      <c r="J733" s="1005"/>
      <c r="K733" s="1005"/>
      <c r="L733" s="1005"/>
      <c r="M733" s="1005"/>
    </row>
    <row r="734" spans="1:13" ht="15.75" thickBot="1">
      <c r="A734" s="1019" t="s">
        <v>83</v>
      </c>
      <c r="B734" s="2262" t="s">
        <v>897</v>
      </c>
      <c r="C734" s="2263"/>
      <c r="D734" s="2263"/>
      <c r="E734" s="2263"/>
      <c r="F734" s="2263"/>
      <c r="G734" s="2264"/>
      <c r="H734" s="1005"/>
      <c r="I734" s="1005"/>
      <c r="J734" s="1005"/>
      <c r="K734" s="1005"/>
      <c r="L734" s="1005"/>
      <c r="M734" s="1005"/>
    </row>
    <row r="735" spans="1:13">
      <c r="A735" s="2281" t="s">
        <v>320</v>
      </c>
      <c r="B735" s="2282"/>
      <c r="C735" s="2282"/>
      <c r="D735" s="2282"/>
      <c r="E735" s="2282"/>
      <c r="F735" s="2282"/>
      <c r="G735" s="2283"/>
      <c r="H735" s="1005"/>
      <c r="I735" s="1005"/>
      <c r="J735" s="1005"/>
      <c r="K735" s="1005"/>
      <c r="L735" s="1005"/>
      <c r="M735" s="1005"/>
    </row>
    <row r="736" spans="1:13">
      <c r="A736" s="2268" t="s">
        <v>898</v>
      </c>
      <c r="B736" s="2269"/>
      <c r="C736" s="2269"/>
      <c r="D736" s="2269"/>
      <c r="E736" s="2269"/>
      <c r="F736" s="2269"/>
      <c r="G736" s="2270"/>
      <c r="H736" s="1005"/>
      <c r="I736" s="1005"/>
      <c r="J736" s="1005"/>
      <c r="K736" s="1005"/>
      <c r="L736" s="1005"/>
      <c r="M736" s="1005"/>
    </row>
    <row r="737" spans="1:13">
      <c r="A737" s="1034" t="s">
        <v>394</v>
      </c>
      <c r="B737" s="1035" t="s">
        <v>339</v>
      </c>
      <c r="C737" s="1035" t="s">
        <v>349</v>
      </c>
      <c r="D737" s="1035" t="s">
        <v>350</v>
      </c>
      <c r="E737" s="1035" t="s">
        <v>351</v>
      </c>
      <c r="F737" s="1035" t="s">
        <v>352</v>
      </c>
      <c r="G737" s="1093" t="s">
        <v>353</v>
      </c>
      <c r="H737" s="1005"/>
      <c r="I737" s="1005"/>
      <c r="J737" s="1005"/>
      <c r="K737" s="1005"/>
      <c r="L737" s="1005"/>
      <c r="M737" s="1005"/>
    </row>
    <row r="738" spans="1:13" ht="24">
      <c r="A738" s="1049" t="s">
        <v>899</v>
      </c>
      <c r="B738" s="1095" t="s">
        <v>900</v>
      </c>
      <c r="C738" s="1071">
        <v>1.8</v>
      </c>
      <c r="D738" s="1071">
        <f>ROUNDUP((((1.85+1.51)*1.8)),2)</f>
        <v>6.05</v>
      </c>
      <c r="E738" s="1095" t="s">
        <v>901</v>
      </c>
      <c r="F738" s="1071">
        <f>(0.8*1.6*2)+(0.16*2)</f>
        <v>2.8800000000000003</v>
      </c>
      <c r="G738" s="1096">
        <f>ROUNDUP(D738-F738,2)</f>
        <v>3.17</v>
      </c>
      <c r="H738" s="1005"/>
      <c r="I738" s="1005"/>
      <c r="J738" s="1005"/>
      <c r="K738" s="1005"/>
      <c r="L738" s="1005"/>
      <c r="M738" s="1005"/>
    </row>
    <row r="739" spans="1:13" ht="24">
      <c r="A739" s="1049" t="s">
        <v>902</v>
      </c>
      <c r="B739" s="1095" t="s">
        <v>903</v>
      </c>
      <c r="C739" s="1071">
        <v>2.8</v>
      </c>
      <c r="D739" s="1071">
        <f>ROUNDUP((((1.85+1.51)*1.8)),2)</f>
        <v>6.05</v>
      </c>
      <c r="E739" s="1095" t="s">
        <v>901</v>
      </c>
      <c r="F739" s="1071">
        <f>(0.8*1.6*2)+(0.16*2)</f>
        <v>2.8800000000000003</v>
      </c>
      <c r="G739" s="1096">
        <f>ROUNDUP(D739-F739,2)</f>
        <v>3.17</v>
      </c>
      <c r="H739" s="1005"/>
      <c r="I739" s="1005"/>
      <c r="J739" s="1005"/>
      <c r="K739" s="1005"/>
      <c r="L739" s="1005"/>
      <c r="M739" s="1005"/>
    </row>
    <row r="740" spans="1:13" ht="15.75" thickBot="1">
      <c r="A740" s="2406" t="s">
        <v>324</v>
      </c>
      <c r="B740" s="2407"/>
      <c r="C740" s="2407"/>
      <c r="D740" s="2407"/>
      <c r="E740" s="2407"/>
      <c r="F740" s="2408"/>
      <c r="G740" s="1180">
        <f>ROUNDUP(G738+G739,2)</f>
        <v>6.34</v>
      </c>
      <c r="H740" s="1005"/>
      <c r="I740" s="1005"/>
      <c r="J740" s="1005"/>
      <c r="K740" s="1005"/>
      <c r="L740" s="1005"/>
      <c r="M740" s="1005"/>
    </row>
    <row r="741" spans="1:13" ht="15.75" thickBot="1">
      <c r="A741" s="1141"/>
      <c r="B741" s="1142"/>
      <c r="C741" s="1086"/>
      <c r="D741" s="1086"/>
      <c r="E741" s="1086"/>
      <c r="F741" s="1086"/>
      <c r="G741" s="1109"/>
      <c r="H741" s="1005"/>
      <c r="I741" s="1005"/>
      <c r="J741" s="1005"/>
      <c r="K741" s="1005"/>
      <c r="L741" s="1005"/>
      <c r="M741" s="1005"/>
    </row>
    <row r="742" spans="1:13" ht="15.75" thickBot="1">
      <c r="A742" s="1019">
        <v>12</v>
      </c>
      <c r="B742" s="2262" t="s">
        <v>904</v>
      </c>
      <c r="C742" s="2263"/>
      <c r="D742" s="2263"/>
      <c r="E742" s="2263"/>
      <c r="F742" s="2263"/>
      <c r="G742" s="2264"/>
      <c r="H742" s="1005"/>
      <c r="I742" s="1005"/>
      <c r="J742" s="1005"/>
      <c r="K742" s="1005"/>
      <c r="L742" s="1005"/>
      <c r="M742" s="1005"/>
    </row>
    <row r="743" spans="1:13" ht="15.75" thickBot="1">
      <c r="A743" s="1019" t="s">
        <v>85</v>
      </c>
      <c r="B743" s="2262" t="s">
        <v>905</v>
      </c>
      <c r="C743" s="2263"/>
      <c r="D743" s="2263"/>
      <c r="E743" s="2263"/>
      <c r="F743" s="2263"/>
      <c r="G743" s="2264"/>
      <c r="H743" s="1005"/>
      <c r="I743" s="1005"/>
      <c r="J743" s="1005"/>
      <c r="K743" s="1005"/>
      <c r="L743" s="1005"/>
      <c r="M743" s="1005"/>
    </row>
    <row r="744" spans="1:13">
      <c r="A744" s="2265" t="s">
        <v>320</v>
      </c>
      <c r="B744" s="2266"/>
      <c r="C744" s="2266"/>
      <c r="D744" s="2266"/>
      <c r="E744" s="2266"/>
      <c r="F744" s="2266"/>
      <c r="G744" s="2267"/>
      <c r="H744" s="1005"/>
      <c r="I744" s="1005"/>
      <c r="J744" s="1005"/>
      <c r="K744" s="1005"/>
      <c r="L744" s="1005"/>
      <c r="M744" s="1005"/>
    </row>
    <row r="745" spans="1:13">
      <c r="A745" s="2268" t="s">
        <v>906</v>
      </c>
      <c r="B745" s="2269"/>
      <c r="C745" s="2269"/>
      <c r="D745" s="2269"/>
      <c r="E745" s="2269"/>
      <c r="F745" s="2269"/>
      <c r="G745" s="2270"/>
      <c r="H745" s="1005"/>
      <c r="I745" s="1005"/>
      <c r="J745" s="1005"/>
      <c r="K745" s="1005"/>
      <c r="L745" s="1005"/>
      <c r="M745" s="1005"/>
    </row>
    <row r="746" spans="1:13" ht="24">
      <c r="A746" s="1034" t="s">
        <v>394</v>
      </c>
      <c r="B746" s="1035" t="s">
        <v>907</v>
      </c>
      <c r="C746" s="1035" t="s">
        <v>908</v>
      </c>
      <c r="D746" s="1035" t="s">
        <v>909</v>
      </c>
      <c r="E746" s="1035" t="s">
        <v>910</v>
      </c>
      <c r="F746" s="2273" t="s">
        <v>375</v>
      </c>
      <c r="G746" s="2275"/>
      <c r="H746" s="1005"/>
      <c r="I746" s="1005"/>
      <c r="J746" s="1005"/>
      <c r="K746" s="1005"/>
      <c r="L746" s="1005"/>
      <c r="M746" s="1005"/>
    </row>
    <row r="747" spans="1:13" ht="24">
      <c r="A747" s="1118" t="s">
        <v>865</v>
      </c>
      <c r="B747" s="1119" t="s">
        <v>911</v>
      </c>
      <c r="C747" s="1038" t="s">
        <v>912</v>
      </c>
      <c r="D747" s="1071">
        <f>(0.1*(2+0.6+0.6))</f>
        <v>0.32000000000000006</v>
      </c>
      <c r="E747" s="1071">
        <f>ROUNDUP((0.6*2),2)</f>
        <v>1.2</v>
      </c>
      <c r="F747" s="2404">
        <f>D747+E747</f>
        <v>1.52</v>
      </c>
      <c r="G747" s="2405"/>
      <c r="H747" s="1005"/>
      <c r="I747" s="1005"/>
      <c r="J747" s="1005"/>
      <c r="K747" s="1005"/>
      <c r="L747" s="1005"/>
      <c r="M747" s="1005"/>
    </row>
    <row r="748" spans="1:13" ht="15.75" thickBot="1">
      <c r="A748" s="2406" t="s">
        <v>324</v>
      </c>
      <c r="B748" s="2407"/>
      <c r="C748" s="2407"/>
      <c r="D748" s="2407"/>
      <c r="E748" s="2408"/>
      <c r="F748" s="2344">
        <f>SUM(F747)</f>
        <v>1.52</v>
      </c>
      <c r="G748" s="2345"/>
      <c r="H748" s="1005"/>
      <c r="I748" s="1005"/>
      <c r="J748" s="1005"/>
      <c r="K748" s="1005"/>
      <c r="L748" s="1005"/>
      <c r="M748" s="1005"/>
    </row>
    <row r="749" spans="1:13" ht="15.75" thickBot="1">
      <c r="A749" s="1141"/>
      <c r="B749" s="1142"/>
      <c r="C749" s="1086"/>
      <c r="D749" s="1086"/>
      <c r="E749" s="1086"/>
      <c r="F749" s="1086"/>
      <c r="G749" s="1109"/>
      <c r="H749" s="1005"/>
      <c r="I749" s="1005"/>
      <c r="J749" s="1005"/>
      <c r="K749" s="1005"/>
      <c r="L749" s="1005"/>
      <c r="M749" s="1005"/>
    </row>
    <row r="750" spans="1:13" ht="15.75" thickBot="1">
      <c r="A750" s="1019" t="s">
        <v>86</v>
      </c>
      <c r="B750" s="2262" t="s">
        <v>913</v>
      </c>
      <c r="C750" s="2263"/>
      <c r="D750" s="2263"/>
      <c r="E750" s="2263"/>
      <c r="F750" s="2263"/>
      <c r="G750" s="2264"/>
      <c r="H750" s="1005"/>
      <c r="I750" s="1005"/>
      <c r="J750" s="1005"/>
      <c r="K750" s="1005"/>
      <c r="L750" s="1005"/>
      <c r="M750" s="1005"/>
    </row>
    <row r="751" spans="1:13">
      <c r="A751" s="2265" t="s">
        <v>320</v>
      </c>
      <c r="B751" s="2266"/>
      <c r="C751" s="2266"/>
      <c r="D751" s="2266"/>
      <c r="E751" s="2266"/>
      <c r="F751" s="2266"/>
      <c r="G751" s="2267"/>
      <c r="H751" s="1005"/>
      <c r="I751" s="1005"/>
      <c r="J751" s="1005"/>
      <c r="K751" s="1005"/>
      <c r="L751" s="1005"/>
      <c r="M751" s="1005"/>
    </row>
    <row r="752" spans="1:13">
      <c r="A752" s="2268" t="s">
        <v>906</v>
      </c>
      <c r="B752" s="2269"/>
      <c r="C752" s="2269"/>
      <c r="D752" s="2269"/>
      <c r="E752" s="2269"/>
      <c r="F752" s="2269"/>
      <c r="G752" s="2270"/>
      <c r="H752" s="1005"/>
      <c r="I752" s="1005"/>
      <c r="J752" s="1005"/>
      <c r="K752" s="1005"/>
      <c r="L752" s="1005"/>
      <c r="M752" s="1005"/>
    </row>
    <row r="753" spans="1:13" ht="24">
      <c r="A753" s="1034" t="s">
        <v>394</v>
      </c>
      <c r="B753" s="1035" t="s">
        <v>907</v>
      </c>
      <c r="C753" s="1035" t="s">
        <v>908</v>
      </c>
      <c r="D753" s="1035" t="s">
        <v>909</v>
      </c>
      <c r="E753" s="1035" t="s">
        <v>910</v>
      </c>
      <c r="F753" s="2273" t="s">
        <v>375</v>
      </c>
      <c r="G753" s="2275"/>
      <c r="H753" s="1005"/>
      <c r="I753" s="1005"/>
      <c r="J753" s="1005"/>
      <c r="K753" s="1005"/>
      <c r="L753" s="1005"/>
      <c r="M753" s="1005"/>
    </row>
    <row r="754" spans="1:13" ht="25.5">
      <c r="A754" s="1118" t="s">
        <v>914</v>
      </c>
      <c r="B754" s="1119" t="s">
        <v>915</v>
      </c>
      <c r="C754" s="1038" t="s">
        <v>916</v>
      </c>
      <c r="D754" s="1071">
        <f>0.1*0.6*1.3</f>
        <v>7.8E-2</v>
      </c>
      <c r="E754" s="1071">
        <f>ROUNDUP((0.6*1.3),2)</f>
        <v>0.78</v>
      </c>
      <c r="F754" s="2404">
        <f>(E754+D754)*2</f>
        <v>1.716</v>
      </c>
      <c r="G754" s="2405"/>
      <c r="H754" s="1005"/>
      <c r="I754" s="1270" t="s">
        <v>2157</v>
      </c>
      <c r="J754" s="1005"/>
      <c r="K754" s="1005"/>
      <c r="L754" s="1005"/>
      <c r="M754" s="1005"/>
    </row>
    <row r="755" spans="1:13" ht="15.75" thickBot="1">
      <c r="A755" s="2406" t="s">
        <v>324</v>
      </c>
      <c r="B755" s="2407"/>
      <c r="C755" s="2407"/>
      <c r="D755" s="2407"/>
      <c r="E755" s="2408"/>
      <c r="F755" s="2344">
        <f>SUM(F754)</f>
        <v>1.716</v>
      </c>
      <c r="G755" s="2345"/>
      <c r="H755" s="1005"/>
      <c r="I755" s="1005"/>
      <c r="J755" s="1005"/>
      <c r="K755" s="1005"/>
      <c r="L755" s="1005"/>
      <c r="M755" s="1005"/>
    </row>
    <row r="756" spans="1:13" ht="15.75" thickBot="1">
      <c r="A756" s="1141"/>
      <c r="B756" s="1142"/>
      <c r="C756" s="1086"/>
      <c r="D756" s="1086"/>
      <c r="E756" s="1086"/>
      <c r="F756" s="1086"/>
      <c r="G756" s="1109"/>
      <c r="H756" s="1005"/>
      <c r="I756" s="1005"/>
      <c r="J756" s="1005"/>
      <c r="K756" s="1005"/>
      <c r="L756" s="1005"/>
      <c r="M756" s="1005"/>
    </row>
    <row r="757" spans="1:13" ht="15.75" thickBot="1">
      <c r="A757" s="1019" t="s">
        <v>87</v>
      </c>
      <c r="B757" s="2262" t="s">
        <v>917</v>
      </c>
      <c r="C757" s="2263"/>
      <c r="D757" s="2263"/>
      <c r="E757" s="2263"/>
      <c r="F757" s="2263"/>
      <c r="G757" s="2264"/>
      <c r="H757" s="1005"/>
      <c r="I757" s="1005"/>
      <c r="J757" s="1005"/>
      <c r="K757" s="1005"/>
      <c r="L757" s="1005"/>
      <c r="M757" s="1005"/>
    </row>
    <row r="758" spans="1:13">
      <c r="A758" s="2265" t="s">
        <v>320</v>
      </c>
      <c r="B758" s="2266"/>
      <c r="C758" s="2266"/>
      <c r="D758" s="2266"/>
      <c r="E758" s="2266"/>
      <c r="F758" s="2266"/>
      <c r="G758" s="2267"/>
      <c r="H758" s="1005"/>
      <c r="I758" s="1005"/>
      <c r="J758" s="1005"/>
      <c r="K758" s="1005"/>
      <c r="L758" s="1005"/>
      <c r="M758" s="1005"/>
    </row>
    <row r="759" spans="1:13">
      <c r="A759" s="2268" t="s">
        <v>906</v>
      </c>
      <c r="B759" s="2269"/>
      <c r="C759" s="2269"/>
      <c r="D759" s="2269"/>
      <c r="E759" s="2269"/>
      <c r="F759" s="2269"/>
      <c r="G759" s="2270"/>
      <c r="H759" s="1005"/>
      <c r="I759" s="1005"/>
      <c r="J759" s="1005"/>
      <c r="K759" s="1005"/>
      <c r="L759" s="1005"/>
      <c r="M759" s="1005"/>
    </row>
    <row r="760" spans="1:13" ht="24">
      <c r="A760" s="1034" t="s">
        <v>394</v>
      </c>
      <c r="B760" s="1035" t="s">
        <v>362</v>
      </c>
      <c r="C760" s="1035" t="s">
        <v>372</v>
      </c>
      <c r="D760" s="1035" t="s">
        <v>918</v>
      </c>
      <c r="E760" s="1035" t="s">
        <v>399</v>
      </c>
      <c r="F760" s="2273" t="s">
        <v>323</v>
      </c>
      <c r="G760" s="2275"/>
      <c r="H760" s="1005"/>
      <c r="I760" s="1005"/>
      <c r="J760" s="1005"/>
      <c r="K760" s="1005"/>
      <c r="L760" s="1005"/>
      <c r="M760" s="1005"/>
    </row>
    <row r="761" spans="1:13">
      <c r="A761" s="1118" t="s">
        <v>919</v>
      </c>
      <c r="B761" s="1119">
        <v>0.35</v>
      </c>
      <c r="C761" s="1038">
        <v>1.2</v>
      </c>
      <c r="D761" s="1071">
        <f>B761*C761</f>
        <v>0.42</v>
      </c>
      <c r="E761" s="1071">
        <f>ROUNDUP(D761,2)</f>
        <v>0.42</v>
      </c>
      <c r="F761" s="2393"/>
      <c r="G761" s="2394"/>
      <c r="H761" s="1005"/>
      <c r="I761" s="1005"/>
      <c r="J761" s="1005"/>
      <c r="K761" s="1005"/>
      <c r="L761" s="1005"/>
      <c r="M761" s="1005"/>
    </row>
    <row r="762" spans="1:13">
      <c r="A762" s="2399"/>
      <c r="B762" s="2400"/>
      <c r="C762" s="2401"/>
      <c r="D762" s="1198" t="s">
        <v>324</v>
      </c>
      <c r="E762" s="1075">
        <f>ROUNDUP(E761,2)</f>
        <v>0.42</v>
      </c>
      <c r="F762" s="2395"/>
      <c r="G762" s="2396"/>
      <c r="H762" s="1005"/>
      <c r="I762" s="1005"/>
      <c r="J762" s="1005"/>
      <c r="K762" s="1005"/>
      <c r="L762" s="1005"/>
      <c r="M762" s="1005"/>
    </row>
    <row r="763" spans="1:13" ht="36">
      <c r="A763" s="1034" t="s">
        <v>920</v>
      </c>
      <c r="B763" s="1035" t="s">
        <v>921</v>
      </c>
      <c r="C763" s="1035" t="s">
        <v>372</v>
      </c>
      <c r="D763" s="1035" t="s">
        <v>2151</v>
      </c>
      <c r="E763" s="1035" t="s">
        <v>2152</v>
      </c>
      <c r="F763" s="2395"/>
      <c r="G763" s="2396"/>
      <c r="H763" s="1005"/>
      <c r="I763" s="1005"/>
      <c r="J763" s="1005"/>
      <c r="K763" s="1005"/>
      <c r="L763" s="1005"/>
      <c r="M763" s="1005"/>
    </row>
    <row r="764" spans="1:13">
      <c r="A764" s="1118" t="s">
        <v>919</v>
      </c>
      <c r="B764" s="1119">
        <v>0.03</v>
      </c>
      <c r="C764" s="1038">
        <v>1.2</v>
      </c>
      <c r="D764" s="1071">
        <f>C764*B764</f>
        <v>3.5999999999999997E-2</v>
      </c>
      <c r="E764" s="1071">
        <f>D764*2</f>
        <v>7.1999999999999995E-2</v>
      </c>
      <c r="F764" s="2395"/>
      <c r="G764" s="2396"/>
      <c r="H764" s="1005"/>
      <c r="I764" s="1005"/>
      <c r="J764" s="1005"/>
      <c r="K764" s="1005"/>
      <c r="L764" s="1005"/>
      <c r="M764" s="1005"/>
    </row>
    <row r="765" spans="1:13" ht="15.75" thickBot="1">
      <c r="A765" s="2402"/>
      <c r="B765" s="2344"/>
      <c r="C765" s="2403"/>
      <c r="D765" s="1199" t="s">
        <v>324</v>
      </c>
      <c r="E765" s="1029">
        <f>ROUNDUP(E764,2)</f>
        <v>0.08</v>
      </c>
      <c r="F765" s="2397"/>
      <c r="G765" s="2398"/>
      <c r="H765" s="1005"/>
      <c r="I765" s="1005"/>
      <c r="J765" s="1005"/>
      <c r="K765" s="1005"/>
      <c r="L765" s="1005"/>
      <c r="M765" s="1005"/>
    </row>
    <row r="766" spans="1:13" ht="15.75" thickBot="1">
      <c r="A766" s="1141"/>
      <c r="B766" s="1142"/>
      <c r="C766" s="1086"/>
      <c r="D766" s="1086"/>
      <c r="E766" s="1086"/>
      <c r="F766" s="1086"/>
      <c r="G766" s="1109"/>
      <c r="H766" s="1005"/>
      <c r="I766" s="1005"/>
      <c r="J766" s="1005"/>
      <c r="K766" s="1005"/>
      <c r="L766" s="1005"/>
      <c r="M766" s="1005"/>
    </row>
    <row r="767" spans="1:13" ht="15.75" thickBot="1">
      <c r="A767" s="1019">
        <v>13</v>
      </c>
      <c r="B767" s="2262" t="s">
        <v>411</v>
      </c>
      <c r="C767" s="2263"/>
      <c r="D767" s="2263"/>
      <c r="E767" s="2263"/>
      <c r="F767" s="2263"/>
      <c r="G767" s="2264"/>
      <c r="H767" s="1005"/>
      <c r="I767" s="1005"/>
      <c r="J767" s="1005"/>
      <c r="K767" s="1005"/>
      <c r="L767" s="1005"/>
      <c r="M767" s="1005"/>
    </row>
    <row r="768" spans="1:13" ht="15.75" thickBot="1">
      <c r="A768" s="1019" t="s">
        <v>90</v>
      </c>
      <c r="B768" s="2262" t="s">
        <v>922</v>
      </c>
      <c r="C768" s="2263"/>
      <c r="D768" s="2263"/>
      <c r="E768" s="2263"/>
      <c r="F768" s="2263"/>
      <c r="G768" s="2264"/>
      <c r="H768" s="1005"/>
      <c r="I768" s="1005"/>
      <c r="J768" s="1005"/>
      <c r="K768" s="1005"/>
      <c r="L768" s="1005"/>
      <c r="M768" s="1005"/>
    </row>
    <row r="769" spans="1:13">
      <c r="A769" s="2265" t="s">
        <v>923</v>
      </c>
      <c r="B769" s="2266"/>
      <c r="C769" s="2266"/>
      <c r="D769" s="2266"/>
      <c r="E769" s="2266"/>
      <c r="F769" s="2266"/>
      <c r="G769" s="2267"/>
      <c r="H769" s="1005"/>
      <c r="I769" s="1005"/>
      <c r="J769" s="1005"/>
      <c r="K769" s="1005"/>
      <c r="L769" s="1005"/>
      <c r="M769" s="1005"/>
    </row>
    <row r="770" spans="1:13">
      <c r="A770" s="2268" t="s">
        <v>924</v>
      </c>
      <c r="B770" s="2269"/>
      <c r="C770" s="2269"/>
      <c r="D770" s="2269"/>
      <c r="E770" s="2269"/>
      <c r="F770" s="2269"/>
      <c r="G770" s="2270"/>
      <c r="H770" s="1005"/>
      <c r="I770" s="1005"/>
      <c r="J770" s="1005"/>
      <c r="K770" s="1005"/>
      <c r="L770" s="1005"/>
      <c r="M770" s="1005"/>
    </row>
    <row r="771" spans="1:13">
      <c r="A771" s="1034" t="s">
        <v>339</v>
      </c>
      <c r="B771" s="1035" t="s">
        <v>339</v>
      </c>
      <c r="C771" s="1035" t="s">
        <v>349</v>
      </c>
      <c r="D771" s="1035" t="s">
        <v>350</v>
      </c>
      <c r="E771" s="1035" t="s">
        <v>351</v>
      </c>
      <c r="F771" s="1035" t="s">
        <v>352</v>
      </c>
      <c r="G771" s="1093" t="s">
        <v>353</v>
      </c>
      <c r="H771" s="1005"/>
      <c r="I771" s="1005"/>
      <c r="J771" s="1005"/>
      <c r="K771" s="1005"/>
      <c r="L771" s="1005"/>
      <c r="M771" s="1005"/>
    </row>
    <row r="772" spans="1:13">
      <c r="A772" s="2387" t="s">
        <v>772</v>
      </c>
      <c r="B772" s="2388"/>
      <c r="C772" s="2388"/>
      <c r="D772" s="2388"/>
      <c r="E772" s="2388"/>
      <c r="F772" s="2388"/>
      <c r="G772" s="2389"/>
      <c r="H772" s="1005"/>
      <c r="I772" s="1005"/>
      <c r="J772" s="1005"/>
      <c r="K772" s="1005"/>
      <c r="L772" s="1005"/>
      <c r="M772" s="1005"/>
    </row>
    <row r="773" spans="1:13">
      <c r="A773" s="1049" t="s">
        <v>773</v>
      </c>
      <c r="B773" s="1071">
        <v>1.5</v>
      </c>
      <c r="C773" s="1071">
        <v>2.8</v>
      </c>
      <c r="D773" s="1071">
        <f t="shared" ref="D773:D780" si="24">B773*C773</f>
        <v>4.1999999999999993</v>
      </c>
      <c r="E773" s="1071"/>
      <c r="F773" s="1071"/>
      <c r="G773" s="1096">
        <f t="shared" ref="G773:G780" si="25">D773-F773</f>
        <v>4.1999999999999993</v>
      </c>
      <c r="H773" s="1005"/>
      <c r="I773" s="1005"/>
      <c r="J773" s="1005"/>
      <c r="K773" s="1005"/>
      <c r="L773" s="1005"/>
      <c r="M773" s="1005"/>
    </row>
    <row r="774" spans="1:13">
      <c r="A774" s="1049" t="s">
        <v>774</v>
      </c>
      <c r="B774" s="1153">
        <v>1.95</v>
      </c>
      <c r="C774" s="1071">
        <v>2.8</v>
      </c>
      <c r="D774" s="1071">
        <f t="shared" si="24"/>
        <v>5.46</v>
      </c>
      <c r="E774" s="1095" t="s">
        <v>775</v>
      </c>
      <c r="F774" s="1071">
        <f>0.8*2.1</f>
        <v>1.6800000000000002</v>
      </c>
      <c r="G774" s="1096">
        <f t="shared" si="25"/>
        <v>3.78</v>
      </c>
      <c r="H774" s="1005"/>
      <c r="I774" s="1005"/>
      <c r="J774" s="1005"/>
      <c r="K774" s="1005"/>
      <c r="L774" s="1005"/>
      <c r="M774" s="1005"/>
    </row>
    <row r="775" spans="1:13" ht="36">
      <c r="A775" s="1049" t="s">
        <v>776</v>
      </c>
      <c r="B775" s="1071">
        <f>1.05+2.85+3.85+1.85+1.08+2</f>
        <v>12.68</v>
      </c>
      <c r="C775" s="1071">
        <v>0.7</v>
      </c>
      <c r="D775" s="1071">
        <f t="shared" si="24"/>
        <v>8.8759999999999994</v>
      </c>
      <c r="E775" s="1071"/>
      <c r="F775" s="1071"/>
      <c r="G775" s="1096">
        <f t="shared" si="25"/>
        <v>8.8759999999999994</v>
      </c>
      <c r="H775" s="1005"/>
      <c r="I775" s="1005"/>
      <c r="J775" s="1005"/>
      <c r="K775" s="1005"/>
      <c r="L775" s="1005"/>
      <c r="M775" s="1005"/>
    </row>
    <row r="776" spans="1:13" ht="36">
      <c r="A776" s="1049" t="s">
        <v>777</v>
      </c>
      <c r="B776" s="1071">
        <f>1.05+2.85+3.85+1.85+1.08+2</f>
        <v>12.68</v>
      </c>
      <c r="C776" s="1071">
        <v>0.7</v>
      </c>
      <c r="D776" s="1071">
        <f t="shared" si="24"/>
        <v>8.8759999999999994</v>
      </c>
      <c r="E776" s="1071"/>
      <c r="F776" s="1071"/>
      <c r="G776" s="1096">
        <f t="shared" si="25"/>
        <v>8.8759999999999994</v>
      </c>
      <c r="H776" s="1005"/>
      <c r="I776" s="1005"/>
      <c r="J776" s="1005"/>
      <c r="K776" s="1005"/>
      <c r="L776" s="1005"/>
      <c r="M776" s="1005"/>
    </row>
    <row r="777" spans="1:13" ht="24">
      <c r="A777" s="1049" t="s">
        <v>778</v>
      </c>
      <c r="B777" s="1071">
        <f>1.85+1.65+1.85+1.65</f>
        <v>7</v>
      </c>
      <c r="C777" s="1071">
        <v>0.7</v>
      </c>
      <c r="D777" s="1071">
        <f t="shared" si="24"/>
        <v>4.8999999999999995</v>
      </c>
      <c r="E777" s="1071"/>
      <c r="F777" s="1071"/>
      <c r="G777" s="1096">
        <f t="shared" si="25"/>
        <v>4.8999999999999995</v>
      </c>
      <c r="H777" s="1005"/>
      <c r="I777" s="1005"/>
      <c r="J777" s="1005"/>
      <c r="K777" s="1005"/>
      <c r="L777" s="1005"/>
      <c r="M777" s="1005"/>
    </row>
    <row r="778" spans="1:13" ht="24">
      <c r="A778" s="1049" t="s">
        <v>779</v>
      </c>
      <c r="B778" s="1071">
        <f>1.85+1.65+1.85+1.65</f>
        <v>7</v>
      </c>
      <c r="C778" s="1071">
        <v>0.7</v>
      </c>
      <c r="D778" s="1071">
        <f t="shared" si="24"/>
        <v>4.8999999999999995</v>
      </c>
      <c r="E778" s="1071"/>
      <c r="F778" s="1071"/>
      <c r="G778" s="1096">
        <f t="shared" si="25"/>
        <v>4.8999999999999995</v>
      </c>
      <c r="H778" s="1005"/>
      <c r="I778" s="1005"/>
      <c r="J778" s="1005"/>
      <c r="K778" s="1005"/>
      <c r="L778" s="1005"/>
      <c r="M778" s="1005"/>
    </row>
    <row r="779" spans="1:13" ht="24">
      <c r="A779" s="1049" t="s">
        <v>780</v>
      </c>
      <c r="B779" s="1071">
        <f>1.35+1.35+2.35+2.35</f>
        <v>7.4</v>
      </c>
      <c r="C779" s="1071">
        <v>0.7</v>
      </c>
      <c r="D779" s="1071">
        <f t="shared" si="24"/>
        <v>5.18</v>
      </c>
      <c r="E779" s="1071"/>
      <c r="F779" s="1071"/>
      <c r="G779" s="1096">
        <f t="shared" si="25"/>
        <v>5.18</v>
      </c>
      <c r="H779" s="1005"/>
      <c r="I779" s="1005"/>
      <c r="J779" s="1005"/>
      <c r="K779" s="1005"/>
      <c r="L779" s="1005"/>
      <c r="M779" s="1005"/>
    </row>
    <row r="780" spans="1:13" ht="24">
      <c r="A780" s="1049" t="s">
        <v>781</v>
      </c>
      <c r="B780" s="1071">
        <f>3.85+3.85+2+2</f>
        <v>11.7</v>
      </c>
      <c r="C780" s="1071">
        <v>0.7</v>
      </c>
      <c r="D780" s="1071">
        <f t="shared" si="24"/>
        <v>8.19</v>
      </c>
      <c r="E780" s="1071"/>
      <c r="F780" s="1071"/>
      <c r="G780" s="1096">
        <f t="shared" si="25"/>
        <v>8.19</v>
      </c>
      <c r="H780" s="1005"/>
      <c r="I780" s="1005"/>
      <c r="J780" s="1005"/>
      <c r="K780" s="1005"/>
      <c r="L780" s="1005"/>
      <c r="M780" s="1005"/>
    </row>
    <row r="781" spans="1:13">
      <c r="A781" s="2334"/>
      <c r="B781" s="2254"/>
      <c r="C781" s="2254"/>
      <c r="D781" s="2254"/>
      <c r="E781" s="2254"/>
      <c r="F781" s="2254"/>
      <c r="G781" s="2255"/>
      <c r="H781" s="1005"/>
      <c r="I781" s="1005"/>
      <c r="J781" s="1005"/>
      <c r="K781" s="1005"/>
      <c r="L781" s="1005"/>
      <c r="M781" s="1005"/>
    </row>
    <row r="782" spans="1:13">
      <c r="A782" s="2387" t="s">
        <v>782</v>
      </c>
      <c r="B782" s="2388"/>
      <c r="C782" s="2388"/>
      <c r="D782" s="2388"/>
      <c r="E782" s="2388"/>
      <c r="F782" s="2388"/>
      <c r="G782" s="2389"/>
      <c r="H782" s="1005"/>
      <c r="I782" s="1005"/>
      <c r="J782" s="1005"/>
      <c r="K782" s="1005"/>
      <c r="L782" s="1005"/>
      <c r="M782" s="1005"/>
    </row>
    <row r="783" spans="1:13">
      <c r="A783" s="1049" t="s">
        <v>783</v>
      </c>
      <c r="B783" s="1071">
        <v>3.5</v>
      </c>
      <c r="C783" s="1071">
        <v>2.8</v>
      </c>
      <c r="D783" s="1071">
        <f t="shared" ref="D783:D794" si="26">B783*C783</f>
        <v>9.7999999999999989</v>
      </c>
      <c r="E783" s="1095" t="s">
        <v>775</v>
      </c>
      <c r="F783" s="1071">
        <f>0.8*2.1</f>
        <v>1.6800000000000002</v>
      </c>
      <c r="G783" s="1096">
        <f t="shared" ref="G783:G794" si="27">D783-F783</f>
        <v>8.1199999999999992</v>
      </c>
      <c r="H783" s="1005"/>
      <c r="I783" s="1005"/>
      <c r="J783" s="1005"/>
      <c r="K783" s="1005"/>
      <c r="L783" s="1005"/>
      <c r="M783" s="1005"/>
    </row>
    <row r="784" spans="1:13" ht="36">
      <c r="A784" s="1049" t="s">
        <v>784</v>
      </c>
      <c r="B784" s="1071">
        <f>3.15+3.5</f>
        <v>6.65</v>
      </c>
      <c r="C784" s="1071">
        <v>2.8</v>
      </c>
      <c r="D784" s="1071">
        <f t="shared" si="26"/>
        <v>18.62</v>
      </c>
      <c r="E784" s="1095" t="s">
        <v>785</v>
      </c>
      <c r="F784" s="1071">
        <f>(0.8*2.1)+(1.1*0.6*2)</f>
        <v>3</v>
      </c>
      <c r="G784" s="1096">
        <f t="shared" si="27"/>
        <v>15.620000000000001</v>
      </c>
      <c r="H784" s="1005"/>
      <c r="I784" s="1005"/>
      <c r="J784" s="1005"/>
      <c r="K784" s="1005"/>
      <c r="L784" s="1005"/>
      <c r="M784" s="1005"/>
    </row>
    <row r="785" spans="1:13">
      <c r="A785" s="1049" t="s">
        <v>786</v>
      </c>
      <c r="B785" s="1071">
        <f>3.35+3.15</f>
        <v>6.5</v>
      </c>
      <c r="C785" s="1071">
        <v>2.8</v>
      </c>
      <c r="D785" s="1071">
        <f t="shared" si="26"/>
        <v>18.2</v>
      </c>
      <c r="E785" s="1071"/>
      <c r="F785" s="1071"/>
      <c r="G785" s="1096">
        <f t="shared" si="27"/>
        <v>18.2</v>
      </c>
      <c r="H785" s="1005"/>
      <c r="I785" s="1005"/>
      <c r="J785" s="1005"/>
      <c r="K785" s="1005"/>
      <c r="L785" s="1005"/>
      <c r="M785" s="1005"/>
    </row>
    <row r="786" spans="1:13" ht="24">
      <c r="A786" s="1049" t="s">
        <v>787</v>
      </c>
      <c r="B786" s="1071">
        <v>8</v>
      </c>
      <c r="C786" s="1071">
        <v>2.8</v>
      </c>
      <c r="D786" s="1071">
        <f t="shared" si="26"/>
        <v>22.4</v>
      </c>
      <c r="E786" s="1095" t="s">
        <v>788</v>
      </c>
      <c r="F786" s="1071">
        <f>(2.2*1.1)+(0.8*2.1)</f>
        <v>4.1000000000000005</v>
      </c>
      <c r="G786" s="1096">
        <f t="shared" si="27"/>
        <v>18.299999999999997</v>
      </c>
      <c r="H786" s="1005"/>
      <c r="I786" s="1005"/>
      <c r="J786" s="1005"/>
      <c r="K786" s="1005"/>
      <c r="L786" s="1005"/>
      <c r="M786" s="1005"/>
    </row>
    <row r="787" spans="1:13" ht="24">
      <c r="A787" s="1049" t="s">
        <v>787</v>
      </c>
      <c r="B787" s="1071">
        <v>8</v>
      </c>
      <c r="C787" s="1071">
        <v>2.8</v>
      </c>
      <c r="D787" s="1071">
        <f t="shared" si="26"/>
        <v>22.4</v>
      </c>
      <c r="E787" s="1071"/>
      <c r="F787" s="1071"/>
      <c r="G787" s="1096">
        <f t="shared" si="27"/>
        <v>22.4</v>
      </c>
      <c r="H787" s="1005"/>
      <c r="I787" s="1005"/>
      <c r="J787" s="1005"/>
      <c r="K787" s="1005"/>
      <c r="L787" s="1005"/>
      <c r="M787" s="1005"/>
    </row>
    <row r="788" spans="1:13">
      <c r="A788" s="1049" t="s">
        <v>789</v>
      </c>
      <c r="B788" s="1071">
        <v>3.5</v>
      </c>
      <c r="C788" s="1071">
        <v>2.8</v>
      </c>
      <c r="D788" s="1071">
        <f t="shared" si="26"/>
        <v>9.7999999999999989</v>
      </c>
      <c r="E788" s="1095" t="s">
        <v>790</v>
      </c>
      <c r="F788" s="1071">
        <f>2.2*1.1</f>
        <v>2.4200000000000004</v>
      </c>
      <c r="G788" s="1096">
        <f t="shared" si="27"/>
        <v>7.379999999999999</v>
      </c>
      <c r="H788" s="1005"/>
      <c r="I788" s="1005"/>
      <c r="J788" s="1005"/>
      <c r="K788" s="1005"/>
      <c r="L788" s="1005"/>
      <c r="M788" s="1005"/>
    </row>
    <row r="789" spans="1:13">
      <c r="A789" s="1049" t="s">
        <v>791</v>
      </c>
      <c r="B789" s="1071">
        <f>2.55+2</f>
        <v>4.55</v>
      </c>
      <c r="C789" s="1071">
        <v>2.8</v>
      </c>
      <c r="D789" s="1071">
        <f t="shared" si="26"/>
        <v>12.739999999999998</v>
      </c>
      <c r="E789" s="1071"/>
      <c r="F789" s="1071"/>
      <c r="G789" s="1096">
        <f t="shared" si="27"/>
        <v>12.739999999999998</v>
      </c>
      <c r="H789" s="1005"/>
      <c r="I789" s="1005"/>
      <c r="J789" s="1005"/>
      <c r="K789" s="1005"/>
      <c r="L789" s="1005"/>
      <c r="M789" s="1005"/>
    </row>
    <row r="790" spans="1:13" ht="24">
      <c r="A790" s="1154" t="s">
        <v>792</v>
      </c>
      <c r="B790" s="1155">
        <v>4</v>
      </c>
      <c r="C790" s="1132">
        <v>2.8</v>
      </c>
      <c r="D790" s="1132">
        <f t="shared" si="26"/>
        <v>11.2</v>
      </c>
      <c r="E790" s="1156" t="s">
        <v>793</v>
      </c>
      <c r="F790" s="1132">
        <f>(1.3*2.1)+(2.3*1.1)</f>
        <v>5.26</v>
      </c>
      <c r="G790" s="1157">
        <f t="shared" si="27"/>
        <v>5.9399999999999995</v>
      </c>
      <c r="H790" s="1005"/>
      <c r="I790" s="1005"/>
      <c r="J790" s="1005"/>
      <c r="K790" s="1005"/>
      <c r="L790" s="1005"/>
      <c r="M790" s="1005"/>
    </row>
    <row r="791" spans="1:13" ht="36">
      <c r="A791" s="1154" t="s">
        <v>794</v>
      </c>
      <c r="B791" s="1155">
        <f>2.15+1.35+1.5</f>
        <v>5</v>
      </c>
      <c r="C791" s="1132">
        <v>5.23</v>
      </c>
      <c r="D791" s="1132">
        <f t="shared" si="26"/>
        <v>26.150000000000002</v>
      </c>
      <c r="E791" s="1156" t="s">
        <v>795</v>
      </c>
      <c r="F791" s="1132">
        <f>1.2*1.1+(0.8*2.1)+(0.9*2.1)</f>
        <v>4.8900000000000006</v>
      </c>
      <c r="G791" s="1157">
        <f t="shared" si="27"/>
        <v>21.26</v>
      </c>
      <c r="H791" s="1005"/>
      <c r="I791" s="1005"/>
      <c r="J791" s="1005"/>
      <c r="K791" s="1005"/>
      <c r="L791" s="1005"/>
      <c r="M791" s="1005"/>
    </row>
    <row r="792" spans="1:13">
      <c r="A792" s="1154" t="s">
        <v>796</v>
      </c>
      <c r="B792" s="1155">
        <v>1.5</v>
      </c>
      <c r="C792" s="1132">
        <v>5.23</v>
      </c>
      <c r="D792" s="1132">
        <f t="shared" si="26"/>
        <v>7.8450000000000006</v>
      </c>
      <c r="E792" s="1132"/>
      <c r="F792" s="1132"/>
      <c r="G792" s="1157">
        <f t="shared" si="27"/>
        <v>7.8450000000000006</v>
      </c>
      <c r="H792" s="1005"/>
      <c r="I792" s="1005"/>
      <c r="J792" s="1005"/>
      <c r="K792" s="1005"/>
      <c r="L792" s="1005"/>
      <c r="M792" s="1005"/>
    </row>
    <row r="793" spans="1:13" ht="48">
      <c r="A793" s="1154" t="s">
        <v>797</v>
      </c>
      <c r="B793" s="1155">
        <f>4.6+9.6</f>
        <v>14.2</v>
      </c>
      <c r="C793" s="1132">
        <v>4.7300000000000004</v>
      </c>
      <c r="D793" s="1132">
        <f t="shared" si="26"/>
        <v>67.165999999999997</v>
      </c>
      <c r="E793" s="1156" t="s">
        <v>798</v>
      </c>
      <c r="F793" s="1132">
        <f>2.3*1.1*2+(0.8*2.1)+(1*2.1)</f>
        <v>8.84</v>
      </c>
      <c r="G793" s="1157">
        <f t="shared" si="27"/>
        <v>58.325999999999993</v>
      </c>
      <c r="H793" s="1005"/>
      <c r="I793" s="1005"/>
      <c r="J793" s="1005"/>
      <c r="K793" s="1005"/>
      <c r="L793" s="1005"/>
      <c r="M793" s="1005"/>
    </row>
    <row r="794" spans="1:13">
      <c r="A794" s="1154" t="s">
        <v>799</v>
      </c>
      <c r="B794" s="1155">
        <v>4.5999999999999996</v>
      </c>
      <c r="C794" s="1132">
        <v>1.93</v>
      </c>
      <c r="D794" s="1132">
        <f t="shared" si="26"/>
        <v>8.8779999999999983</v>
      </c>
      <c r="E794" s="1132"/>
      <c r="F794" s="1132"/>
      <c r="G794" s="1157">
        <f t="shared" si="27"/>
        <v>8.8779999999999983</v>
      </c>
      <c r="H794" s="1005"/>
      <c r="I794" s="1005"/>
      <c r="J794" s="1005"/>
      <c r="K794" s="1005"/>
      <c r="L794" s="1005"/>
      <c r="M794" s="1005"/>
    </row>
    <row r="795" spans="1:13">
      <c r="A795" s="2334"/>
      <c r="B795" s="2254"/>
      <c r="C795" s="2254"/>
      <c r="D795" s="2254"/>
      <c r="E795" s="2254"/>
      <c r="F795" s="2254"/>
      <c r="G795" s="2255"/>
      <c r="H795" s="1005"/>
      <c r="I795" s="1005"/>
      <c r="J795" s="1005"/>
      <c r="K795" s="1005"/>
      <c r="L795" s="1005"/>
      <c r="M795" s="1005"/>
    </row>
    <row r="796" spans="1:13">
      <c r="A796" s="2387" t="s">
        <v>800</v>
      </c>
      <c r="B796" s="2388"/>
      <c r="C796" s="2388"/>
      <c r="D796" s="2388"/>
      <c r="E796" s="2388"/>
      <c r="F796" s="2388"/>
      <c r="G796" s="2389"/>
      <c r="H796" s="1005"/>
      <c r="I796" s="1005"/>
      <c r="J796" s="1005"/>
      <c r="K796" s="1005"/>
      <c r="L796" s="1005"/>
      <c r="M796" s="1005"/>
    </row>
    <row r="797" spans="1:13" ht="36">
      <c r="A797" s="1049" t="s">
        <v>801</v>
      </c>
      <c r="B797" s="1100">
        <f>7.5+4.65</f>
        <v>12.15</v>
      </c>
      <c r="C797" s="1071">
        <v>2.8</v>
      </c>
      <c r="D797" s="1071">
        <f t="shared" ref="D797:D805" si="28">B797*C797</f>
        <v>34.019999999999996</v>
      </c>
      <c r="E797" s="1095" t="s">
        <v>802</v>
      </c>
      <c r="F797" s="1071">
        <f>(1.6*2.1)+(3*1.1*0.6)</f>
        <v>5.34</v>
      </c>
      <c r="G797" s="1096">
        <f t="shared" ref="G797:G805" si="29">D797-F797</f>
        <v>28.679999999999996</v>
      </c>
      <c r="H797" s="1005"/>
      <c r="I797" s="1005"/>
      <c r="J797" s="1005"/>
      <c r="K797" s="1005"/>
      <c r="L797" s="1005"/>
      <c r="M797" s="1005"/>
    </row>
    <row r="798" spans="1:13" ht="24">
      <c r="A798" s="1049" t="s">
        <v>801</v>
      </c>
      <c r="B798" s="1100">
        <f>7.5+4.65</f>
        <v>12.15</v>
      </c>
      <c r="C798" s="1071">
        <v>2.8</v>
      </c>
      <c r="D798" s="1071">
        <f t="shared" si="28"/>
        <v>34.019999999999996</v>
      </c>
      <c r="E798" s="1071"/>
      <c r="F798" s="1071"/>
      <c r="G798" s="1096">
        <f t="shared" si="29"/>
        <v>34.019999999999996</v>
      </c>
      <c r="H798" s="1005"/>
      <c r="I798" s="1005"/>
      <c r="J798" s="1005"/>
      <c r="K798" s="1005"/>
      <c r="L798" s="1005"/>
      <c r="M798" s="1005"/>
    </row>
    <row r="799" spans="1:13" ht="36">
      <c r="A799" s="1049" t="s">
        <v>803</v>
      </c>
      <c r="B799" s="1153">
        <f>8.85+10.35</f>
        <v>19.2</v>
      </c>
      <c r="C799" s="1071">
        <v>2.8</v>
      </c>
      <c r="D799" s="1071">
        <f t="shared" si="28"/>
        <v>53.76</v>
      </c>
      <c r="E799" s="1095" t="s">
        <v>804</v>
      </c>
      <c r="F799" s="1071">
        <f>2.3*1.1*5</f>
        <v>12.649999999999999</v>
      </c>
      <c r="G799" s="1096">
        <f t="shared" si="29"/>
        <v>41.11</v>
      </c>
      <c r="H799" s="1005"/>
      <c r="I799" s="1005"/>
      <c r="J799" s="1005"/>
      <c r="K799" s="1005"/>
      <c r="L799" s="1005"/>
      <c r="M799" s="1005"/>
    </row>
    <row r="800" spans="1:13" ht="24">
      <c r="A800" s="1049" t="s">
        <v>805</v>
      </c>
      <c r="B800" s="1153">
        <f>4.65+4</f>
        <v>8.65</v>
      </c>
      <c r="C800" s="1071">
        <v>2.8</v>
      </c>
      <c r="D800" s="1071">
        <f t="shared" si="28"/>
        <v>24.22</v>
      </c>
      <c r="E800" s="1071"/>
      <c r="F800" s="1071"/>
      <c r="G800" s="1096">
        <f t="shared" si="29"/>
        <v>24.22</v>
      </c>
      <c r="H800" s="1005"/>
      <c r="I800" s="1005"/>
      <c r="J800" s="1005"/>
      <c r="K800" s="1005"/>
      <c r="L800" s="1005"/>
      <c r="M800" s="1005"/>
    </row>
    <row r="801" spans="1:13">
      <c r="A801" s="1049" t="s">
        <v>806</v>
      </c>
      <c r="B801" s="1153">
        <v>5.5</v>
      </c>
      <c r="C801" s="1071">
        <v>2.8</v>
      </c>
      <c r="D801" s="1071">
        <f t="shared" si="28"/>
        <v>15.399999999999999</v>
      </c>
      <c r="E801" s="1095" t="s">
        <v>807</v>
      </c>
      <c r="F801" s="1071">
        <f>2.3*1.1</f>
        <v>2.5299999999999998</v>
      </c>
      <c r="G801" s="1096">
        <f t="shared" si="29"/>
        <v>12.87</v>
      </c>
      <c r="H801" s="1005"/>
      <c r="I801" s="1005"/>
      <c r="J801" s="1005"/>
      <c r="K801" s="1005"/>
      <c r="L801" s="1005"/>
      <c r="M801" s="1005"/>
    </row>
    <row r="802" spans="1:13">
      <c r="A802" s="1049" t="s">
        <v>808</v>
      </c>
      <c r="B802" s="1153">
        <v>4.5</v>
      </c>
      <c r="C802" s="1071">
        <v>2.8</v>
      </c>
      <c r="D802" s="1071">
        <f t="shared" si="28"/>
        <v>12.6</v>
      </c>
      <c r="E802" s="1071"/>
      <c r="F802" s="1071"/>
      <c r="G802" s="1096">
        <f t="shared" si="29"/>
        <v>12.6</v>
      </c>
      <c r="H802" s="1005"/>
      <c r="I802" s="1005"/>
      <c r="J802" s="1005"/>
      <c r="K802" s="1005"/>
      <c r="L802" s="1005"/>
      <c r="M802" s="1005"/>
    </row>
    <row r="803" spans="1:13">
      <c r="A803" s="1154" t="s">
        <v>809</v>
      </c>
      <c r="B803" s="1155">
        <v>5</v>
      </c>
      <c r="C803" s="1132">
        <v>2.8</v>
      </c>
      <c r="D803" s="1132">
        <f t="shared" si="28"/>
        <v>14</v>
      </c>
      <c r="E803" s="1132"/>
      <c r="F803" s="1132"/>
      <c r="G803" s="1157">
        <f t="shared" si="29"/>
        <v>14</v>
      </c>
      <c r="H803" s="1005"/>
      <c r="I803" s="1005"/>
      <c r="J803" s="1005"/>
      <c r="K803" s="1005"/>
      <c r="L803" s="1005"/>
      <c r="M803" s="1005"/>
    </row>
    <row r="804" spans="1:13">
      <c r="A804" s="1154" t="s">
        <v>810</v>
      </c>
      <c r="B804" s="1155">
        <v>9</v>
      </c>
      <c r="C804" s="1132">
        <v>2.8</v>
      </c>
      <c r="D804" s="1132">
        <f t="shared" si="28"/>
        <v>25.2</v>
      </c>
      <c r="E804" s="1132"/>
      <c r="F804" s="1132"/>
      <c r="G804" s="1157">
        <f t="shared" si="29"/>
        <v>25.2</v>
      </c>
      <c r="H804" s="1005"/>
      <c r="I804" s="1005"/>
      <c r="J804" s="1005"/>
      <c r="K804" s="1005"/>
      <c r="L804" s="1005"/>
      <c r="M804" s="1005"/>
    </row>
    <row r="805" spans="1:13" ht="24">
      <c r="A805" s="1154" t="s">
        <v>811</v>
      </c>
      <c r="B805" s="1155">
        <v>6.15</v>
      </c>
      <c r="C805" s="1132">
        <v>5.23</v>
      </c>
      <c r="D805" s="1132">
        <f t="shared" si="28"/>
        <v>32.164500000000004</v>
      </c>
      <c r="E805" s="1156" t="s">
        <v>925</v>
      </c>
      <c r="F805" s="1132">
        <f>0.8*2.1*4</f>
        <v>6.7200000000000006</v>
      </c>
      <c r="G805" s="1157">
        <f t="shared" si="29"/>
        <v>25.444500000000005</v>
      </c>
      <c r="H805" s="1005"/>
      <c r="I805" s="1005"/>
      <c r="J805" s="1005"/>
      <c r="K805" s="1005"/>
      <c r="L805" s="1005"/>
      <c r="M805" s="1005"/>
    </row>
    <row r="806" spans="1:13">
      <c r="A806" s="2334"/>
      <c r="B806" s="2254"/>
      <c r="C806" s="2254"/>
      <c r="D806" s="2254"/>
      <c r="E806" s="2254"/>
      <c r="F806" s="2254"/>
      <c r="G806" s="2255"/>
      <c r="H806" s="1005"/>
      <c r="I806" s="1005"/>
      <c r="J806" s="1005"/>
      <c r="K806" s="1005"/>
      <c r="L806" s="1005"/>
      <c r="M806" s="1005"/>
    </row>
    <row r="807" spans="1:13">
      <c r="A807" s="2271" t="s">
        <v>2158</v>
      </c>
      <c r="B807" s="2274"/>
      <c r="C807" s="2274"/>
      <c r="D807" s="2274"/>
      <c r="E807" s="2274"/>
      <c r="F807" s="2274"/>
      <c r="G807" s="2275"/>
      <c r="H807" s="1005"/>
      <c r="I807" s="1271"/>
      <c r="J807" s="1005"/>
      <c r="K807" s="1005"/>
      <c r="L807" s="1005"/>
      <c r="M807" s="1005"/>
    </row>
    <row r="808" spans="1:13">
      <c r="A808" s="2375"/>
      <c r="B808" s="2376"/>
      <c r="C808" s="2381" t="s">
        <v>772</v>
      </c>
      <c r="D808" s="2382"/>
      <c r="E808" s="2382"/>
      <c r="F808" s="2383"/>
      <c r="G808" s="1096"/>
      <c r="H808" s="1005"/>
      <c r="I808" s="1005"/>
      <c r="J808" s="1005"/>
      <c r="K808" s="1005"/>
      <c r="L808" s="1005"/>
      <c r="M808" s="1005"/>
    </row>
    <row r="809" spans="1:13">
      <c r="A809" s="2377"/>
      <c r="B809" s="2378"/>
      <c r="C809" s="2384" t="s">
        <v>324</v>
      </c>
      <c r="D809" s="2385"/>
      <c r="E809" s="2385"/>
      <c r="F809" s="2386"/>
      <c r="G809" s="1159">
        <f>ROUNDUP(G773+G774+G775+G776+G777+G778+G779+G780,2)</f>
        <v>48.91</v>
      </c>
      <c r="H809" s="1005"/>
      <c r="I809" s="1005"/>
      <c r="J809" s="1005"/>
      <c r="K809" s="1005"/>
      <c r="L809" s="1005"/>
      <c r="M809" s="1005"/>
    </row>
    <row r="810" spans="1:13">
      <c r="A810" s="2377"/>
      <c r="B810" s="2378"/>
      <c r="C810" s="2381" t="s">
        <v>782</v>
      </c>
      <c r="D810" s="2382"/>
      <c r="E810" s="2382"/>
      <c r="F810" s="2383"/>
      <c r="G810" s="1160"/>
      <c r="H810" s="1005"/>
      <c r="I810" s="1005"/>
      <c r="J810" s="1005"/>
      <c r="K810" s="1005"/>
      <c r="L810" s="1005"/>
      <c r="M810" s="1005"/>
    </row>
    <row r="811" spans="1:13">
      <c r="A811" s="2377"/>
      <c r="B811" s="2378"/>
      <c r="C811" s="2384" t="s">
        <v>324</v>
      </c>
      <c r="D811" s="2385"/>
      <c r="E811" s="2385"/>
      <c r="F811" s="2386"/>
      <c r="G811" s="1159">
        <f>ROUNDUP(G783+G784+G785+G786+G787+G788+G789+G790+G791+G792+G793+G794,2)</f>
        <v>205.01</v>
      </c>
      <c r="H811" s="1005"/>
      <c r="I811" s="1005"/>
      <c r="J811" s="1005"/>
      <c r="K811" s="1005"/>
      <c r="L811" s="1005"/>
      <c r="M811" s="1005"/>
    </row>
    <row r="812" spans="1:13">
      <c r="A812" s="2377"/>
      <c r="B812" s="2378"/>
      <c r="C812" s="2381" t="s">
        <v>800</v>
      </c>
      <c r="D812" s="2382"/>
      <c r="E812" s="2382"/>
      <c r="F812" s="2383"/>
      <c r="G812" s="1160"/>
      <c r="H812" s="1005"/>
      <c r="I812" s="1005"/>
      <c r="J812" s="1005"/>
      <c r="K812" s="1005"/>
      <c r="L812" s="1005"/>
      <c r="M812" s="1005"/>
    </row>
    <row r="813" spans="1:13">
      <c r="A813" s="2379"/>
      <c r="B813" s="2380"/>
      <c r="C813" s="2384" t="s">
        <v>324</v>
      </c>
      <c r="D813" s="2385"/>
      <c r="E813" s="2385"/>
      <c r="F813" s="2386"/>
      <c r="G813" s="1159">
        <f>ROUNDUP(G797+G803+G804+G798+G799+G801+G802+G805,2)</f>
        <v>193.92999999999998</v>
      </c>
      <c r="H813" s="1005"/>
      <c r="I813" s="1005"/>
      <c r="J813" s="1005"/>
      <c r="K813" s="1005"/>
      <c r="L813" s="1005"/>
      <c r="M813" s="1005"/>
    </row>
    <row r="814" spans="1:13" ht="15.75" thickBot="1">
      <c r="A814" s="2372" t="s">
        <v>357</v>
      </c>
      <c r="B814" s="2373"/>
      <c r="C814" s="2373"/>
      <c r="D814" s="2373"/>
      <c r="E814" s="2373"/>
      <c r="F814" s="2374"/>
      <c r="G814" s="1180">
        <f>ROUNDUP(G809+G811+G813,2)</f>
        <v>447.85</v>
      </c>
      <c r="H814" s="1005"/>
      <c r="I814" s="1005"/>
      <c r="J814" s="1005"/>
      <c r="K814" s="1005"/>
      <c r="L814" s="1005"/>
      <c r="M814" s="1005"/>
    </row>
    <row r="815" spans="1:13" ht="15.75" thickBot="1">
      <c r="A815" s="1200"/>
      <c r="B815" s="1201"/>
      <c r="C815" s="1201"/>
      <c r="D815" s="1201"/>
      <c r="E815" s="1201"/>
      <c r="F815" s="1201"/>
      <c r="G815" s="1202"/>
      <c r="H815" s="1005"/>
      <c r="I815" s="1005"/>
      <c r="J815" s="1005"/>
      <c r="K815" s="1005"/>
      <c r="L815" s="1005"/>
      <c r="M815" s="1005"/>
    </row>
    <row r="816" spans="1:13" ht="15.75" thickBot="1">
      <c r="A816" s="1019" t="s">
        <v>91</v>
      </c>
      <c r="B816" s="2262" t="s">
        <v>926</v>
      </c>
      <c r="C816" s="2263"/>
      <c r="D816" s="2263"/>
      <c r="E816" s="2263"/>
      <c r="F816" s="2263"/>
      <c r="G816" s="2264"/>
      <c r="H816" s="1005"/>
      <c r="I816" s="1005"/>
      <c r="J816" s="1005"/>
      <c r="K816" s="1005"/>
      <c r="L816" s="1005"/>
      <c r="M816" s="1005"/>
    </row>
    <row r="817" spans="1:13">
      <c r="A817" s="2265" t="s">
        <v>923</v>
      </c>
      <c r="B817" s="2266"/>
      <c r="C817" s="2266"/>
      <c r="D817" s="2266"/>
      <c r="E817" s="2266"/>
      <c r="F817" s="2266"/>
      <c r="G817" s="2267"/>
      <c r="H817" s="1005"/>
      <c r="I817" s="1005"/>
      <c r="J817" s="1005"/>
      <c r="K817" s="1005"/>
      <c r="L817" s="1005"/>
      <c r="M817" s="1005"/>
    </row>
    <row r="818" spans="1:13">
      <c r="A818" s="2268" t="s">
        <v>924</v>
      </c>
      <c r="B818" s="2269"/>
      <c r="C818" s="2269"/>
      <c r="D818" s="2269"/>
      <c r="E818" s="2269"/>
      <c r="F818" s="2269"/>
      <c r="G818" s="2270"/>
      <c r="H818" s="1005"/>
      <c r="I818" s="1005"/>
      <c r="J818" s="1005"/>
      <c r="K818" s="1005"/>
      <c r="L818" s="1005"/>
      <c r="M818" s="1005"/>
    </row>
    <row r="819" spans="1:13">
      <c r="A819" s="1034" t="s">
        <v>339</v>
      </c>
      <c r="B819" s="1035" t="s">
        <v>339</v>
      </c>
      <c r="C819" s="1035" t="s">
        <v>349</v>
      </c>
      <c r="D819" s="1035" t="s">
        <v>350</v>
      </c>
      <c r="E819" s="1035" t="s">
        <v>351</v>
      </c>
      <c r="F819" s="1035" t="s">
        <v>352</v>
      </c>
      <c r="G819" s="1093" t="s">
        <v>353</v>
      </c>
      <c r="H819" s="1005"/>
      <c r="I819" s="1005"/>
      <c r="J819" s="1005"/>
      <c r="K819" s="1005"/>
      <c r="L819" s="1005"/>
      <c r="M819" s="1005"/>
    </row>
    <row r="820" spans="1:13">
      <c r="A820" s="2387" t="s">
        <v>772</v>
      </c>
      <c r="B820" s="2388"/>
      <c r="C820" s="2388"/>
      <c r="D820" s="2388"/>
      <c r="E820" s="2388"/>
      <c r="F820" s="2388"/>
      <c r="G820" s="2389"/>
      <c r="H820" s="1005"/>
      <c r="I820" s="1005"/>
      <c r="J820" s="1005"/>
      <c r="K820" s="1005"/>
      <c r="L820" s="1005"/>
      <c r="M820" s="1005"/>
    </row>
    <row r="821" spans="1:13">
      <c r="A821" s="1049" t="s">
        <v>773</v>
      </c>
      <c r="B821" s="1071">
        <v>1.5</v>
      </c>
      <c r="C821" s="1071">
        <v>2.8</v>
      </c>
      <c r="D821" s="1071">
        <f t="shared" ref="D821:D828" si="30">B821*C821</f>
        <v>4.1999999999999993</v>
      </c>
      <c r="E821" s="1071"/>
      <c r="F821" s="1071"/>
      <c r="G821" s="1096">
        <f t="shared" ref="G821:G828" si="31">D821-F821</f>
        <v>4.1999999999999993</v>
      </c>
      <c r="H821" s="1005"/>
      <c r="I821" s="1005"/>
      <c r="J821" s="1005"/>
      <c r="K821" s="1005"/>
      <c r="L821" s="1005"/>
      <c r="M821" s="1005"/>
    </row>
    <row r="822" spans="1:13">
      <c r="A822" s="1049" t="s">
        <v>774</v>
      </c>
      <c r="B822" s="1153">
        <v>1.95</v>
      </c>
      <c r="C822" s="1071">
        <v>2.8</v>
      </c>
      <c r="D822" s="1071">
        <f t="shared" si="30"/>
        <v>5.46</v>
      </c>
      <c r="E822" s="1095" t="s">
        <v>775</v>
      </c>
      <c r="F822" s="1071">
        <f>0.8*2.1</f>
        <v>1.6800000000000002</v>
      </c>
      <c r="G822" s="1096">
        <f t="shared" si="31"/>
        <v>3.78</v>
      </c>
      <c r="H822" s="1005"/>
      <c r="I822" s="1005"/>
      <c r="J822" s="1005"/>
      <c r="K822" s="1005"/>
      <c r="L822" s="1005"/>
      <c r="M822" s="1005"/>
    </row>
    <row r="823" spans="1:13" ht="36">
      <c r="A823" s="1049" t="s">
        <v>776</v>
      </c>
      <c r="B823" s="1071">
        <f>1.05+2.85+3.85+1.85+1.08+2</f>
        <v>12.68</v>
      </c>
      <c r="C823" s="1071">
        <v>0.7</v>
      </c>
      <c r="D823" s="1071">
        <f t="shared" si="30"/>
        <v>8.8759999999999994</v>
      </c>
      <c r="E823" s="1071"/>
      <c r="F823" s="1071"/>
      <c r="G823" s="1096">
        <f t="shared" si="31"/>
        <v>8.8759999999999994</v>
      </c>
      <c r="H823" s="1005"/>
      <c r="I823" s="1005"/>
      <c r="J823" s="1005"/>
      <c r="K823" s="1005"/>
      <c r="L823" s="1005"/>
      <c r="M823" s="1005"/>
    </row>
    <row r="824" spans="1:13" ht="36">
      <c r="A824" s="1049" t="s">
        <v>777</v>
      </c>
      <c r="B824" s="1071">
        <f>1.05+2.85+3.85+1.85+1.08+2</f>
        <v>12.68</v>
      </c>
      <c r="C824" s="1071">
        <v>0.7</v>
      </c>
      <c r="D824" s="1071">
        <f t="shared" si="30"/>
        <v>8.8759999999999994</v>
      </c>
      <c r="E824" s="1071"/>
      <c r="F824" s="1071"/>
      <c r="G824" s="1096">
        <f t="shared" si="31"/>
        <v>8.8759999999999994</v>
      </c>
      <c r="H824" s="1005"/>
      <c r="I824" s="1005"/>
      <c r="J824" s="1005"/>
      <c r="K824" s="1005"/>
      <c r="L824" s="1005"/>
      <c r="M824" s="1005"/>
    </row>
    <row r="825" spans="1:13" ht="24">
      <c r="A825" s="1049" t="s">
        <v>778</v>
      </c>
      <c r="B825" s="1071">
        <f>1.85+1.65+1.85+1.65</f>
        <v>7</v>
      </c>
      <c r="C825" s="1071">
        <v>0.7</v>
      </c>
      <c r="D825" s="1071">
        <f t="shared" si="30"/>
        <v>4.8999999999999995</v>
      </c>
      <c r="E825" s="1071"/>
      <c r="F825" s="1071"/>
      <c r="G825" s="1096">
        <f t="shared" si="31"/>
        <v>4.8999999999999995</v>
      </c>
      <c r="H825" s="1005"/>
      <c r="I825" s="1005"/>
      <c r="J825" s="1005"/>
      <c r="K825" s="1005"/>
      <c r="L825" s="1005"/>
      <c r="M825" s="1005"/>
    </row>
    <row r="826" spans="1:13" ht="24">
      <c r="A826" s="1049" t="s">
        <v>779</v>
      </c>
      <c r="B826" s="1071">
        <f>1.85+1.65+1.85+1.65</f>
        <v>7</v>
      </c>
      <c r="C826" s="1071">
        <v>0.7</v>
      </c>
      <c r="D826" s="1071">
        <f t="shared" si="30"/>
        <v>4.8999999999999995</v>
      </c>
      <c r="E826" s="1071"/>
      <c r="F826" s="1071"/>
      <c r="G826" s="1096">
        <f t="shared" si="31"/>
        <v>4.8999999999999995</v>
      </c>
      <c r="H826" s="1005"/>
      <c r="I826" s="1005"/>
      <c r="J826" s="1005"/>
      <c r="K826" s="1005"/>
      <c r="L826" s="1005"/>
      <c r="M826" s="1005"/>
    </row>
    <row r="827" spans="1:13" ht="24">
      <c r="A827" s="1049" t="s">
        <v>780</v>
      </c>
      <c r="B827" s="1071">
        <f>1.35+1.35+2.35+2.35</f>
        <v>7.4</v>
      </c>
      <c r="C827" s="1071">
        <v>0.7</v>
      </c>
      <c r="D827" s="1071">
        <f t="shared" si="30"/>
        <v>5.18</v>
      </c>
      <c r="E827" s="1071"/>
      <c r="F827" s="1071"/>
      <c r="G827" s="1096">
        <f t="shared" si="31"/>
        <v>5.18</v>
      </c>
      <c r="H827" s="1005"/>
      <c r="I827" s="1005"/>
      <c r="J827" s="1005"/>
      <c r="K827" s="1005"/>
      <c r="L827" s="1005"/>
      <c r="M827" s="1005"/>
    </row>
    <row r="828" spans="1:13" ht="24">
      <c r="A828" s="1049" t="s">
        <v>781</v>
      </c>
      <c r="B828" s="1071">
        <f>3.85+3.85+2+2</f>
        <v>11.7</v>
      </c>
      <c r="C828" s="1071">
        <v>0.7</v>
      </c>
      <c r="D828" s="1071">
        <f t="shared" si="30"/>
        <v>8.19</v>
      </c>
      <c r="E828" s="1071"/>
      <c r="F828" s="1071"/>
      <c r="G828" s="1096">
        <f t="shared" si="31"/>
        <v>8.19</v>
      </c>
      <c r="H828" s="1005"/>
      <c r="I828" s="1005"/>
      <c r="J828" s="1005"/>
      <c r="K828" s="1005"/>
      <c r="L828" s="1005"/>
      <c r="M828" s="1005"/>
    </row>
    <row r="829" spans="1:13">
      <c r="A829" s="2334"/>
      <c r="B829" s="2254"/>
      <c r="C829" s="2254"/>
      <c r="D829" s="2254"/>
      <c r="E829" s="2254"/>
      <c r="F829" s="2254"/>
      <c r="G829" s="2255"/>
      <c r="H829" s="1005"/>
      <c r="I829" s="1005"/>
      <c r="J829" s="1005"/>
      <c r="K829" s="1005"/>
      <c r="L829" s="1005"/>
      <c r="M829" s="1005"/>
    </row>
    <row r="830" spans="1:13">
      <c r="A830" s="2387" t="s">
        <v>782</v>
      </c>
      <c r="B830" s="2388"/>
      <c r="C830" s="2388"/>
      <c r="D830" s="2388"/>
      <c r="E830" s="2388"/>
      <c r="F830" s="2388"/>
      <c r="G830" s="2389"/>
      <c r="H830" s="1005"/>
      <c r="I830" s="1005"/>
      <c r="J830" s="1005"/>
      <c r="K830" s="1005"/>
      <c r="L830" s="1005"/>
      <c r="M830" s="1005"/>
    </row>
    <row r="831" spans="1:13">
      <c r="A831" s="1049" t="s">
        <v>783</v>
      </c>
      <c r="B831" s="1071">
        <v>3.5</v>
      </c>
      <c r="C831" s="1071">
        <v>2.8</v>
      </c>
      <c r="D831" s="1071">
        <f t="shared" ref="D831:D842" si="32">B831*C831</f>
        <v>9.7999999999999989</v>
      </c>
      <c r="E831" s="1095" t="s">
        <v>775</v>
      </c>
      <c r="F831" s="1071">
        <f>0.8*2.1</f>
        <v>1.6800000000000002</v>
      </c>
      <c r="G831" s="1096">
        <f t="shared" ref="G831:G842" si="33">D831-F831</f>
        <v>8.1199999999999992</v>
      </c>
      <c r="H831" s="1005"/>
      <c r="I831" s="1005"/>
      <c r="J831" s="1005"/>
      <c r="K831" s="1005"/>
      <c r="L831" s="1005"/>
      <c r="M831" s="1005"/>
    </row>
    <row r="832" spans="1:13" ht="36">
      <c r="A832" s="1049" t="s">
        <v>784</v>
      </c>
      <c r="B832" s="1071">
        <f>3.15+3.5</f>
        <v>6.65</v>
      </c>
      <c r="C832" s="1071">
        <v>2.8</v>
      </c>
      <c r="D832" s="1071">
        <f t="shared" si="32"/>
        <v>18.62</v>
      </c>
      <c r="E832" s="1095" t="s">
        <v>785</v>
      </c>
      <c r="F832" s="1071">
        <f>(0.8*2.1)+(1.1*0.6*2)</f>
        <v>3</v>
      </c>
      <c r="G832" s="1096">
        <f t="shared" si="33"/>
        <v>15.620000000000001</v>
      </c>
      <c r="H832" s="1005"/>
      <c r="I832" s="1005"/>
      <c r="J832" s="1005"/>
      <c r="K832" s="1005"/>
      <c r="L832" s="1005"/>
      <c r="M832" s="1005"/>
    </row>
    <row r="833" spans="1:13">
      <c r="A833" s="1049" t="s">
        <v>786</v>
      </c>
      <c r="B833" s="1071">
        <f>3.35+3.15</f>
        <v>6.5</v>
      </c>
      <c r="C833" s="1071">
        <v>2.8</v>
      </c>
      <c r="D833" s="1071">
        <f t="shared" si="32"/>
        <v>18.2</v>
      </c>
      <c r="E833" s="1071"/>
      <c r="F833" s="1071"/>
      <c r="G833" s="1096">
        <f t="shared" si="33"/>
        <v>18.2</v>
      </c>
      <c r="H833" s="1005"/>
      <c r="I833" s="1005"/>
      <c r="J833" s="1005"/>
      <c r="K833" s="1005"/>
      <c r="L833" s="1005"/>
      <c r="M833" s="1005"/>
    </row>
    <row r="834" spans="1:13" ht="24">
      <c r="A834" s="1049" t="s">
        <v>787</v>
      </c>
      <c r="B834" s="1071">
        <v>8</v>
      </c>
      <c r="C834" s="1071">
        <v>2.8</v>
      </c>
      <c r="D834" s="1071">
        <f t="shared" si="32"/>
        <v>22.4</v>
      </c>
      <c r="E834" s="1095" t="s">
        <v>788</v>
      </c>
      <c r="F834" s="1071">
        <f>(2.2*1.1)+(0.8*2.1)</f>
        <v>4.1000000000000005</v>
      </c>
      <c r="G834" s="1096">
        <f t="shared" si="33"/>
        <v>18.299999999999997</v>
      </c>
      <c r="H834" s="1005"/>
      <c r="I834" s="1005"/>
      <c r="J834" s="1005"/>
      <c r="K834" s="1005"/>
      <c r="L834" s="1005"/>
      <c r="M834" s="1005"/>
    </row>
    <row r="835" spans="1:13" ht="24">
      <c r="A835" s="1049" t="s">
        <v>787</v>
      </c>
      <c r="B835" s="1071">
        <v>8</v>
      </c>
      <c r="C835" s="1071">
        <v>2.8</v>
      </c>
      <c r="D835" s="1071">
        <f t="shared" si="32"/>
        <v>22.4</v>
      </c>
      <c r="E835" s="1071"/>
      <c r="F835" s="1071"/>
      <c r="G835" s="1096">
        <f t="shared" si="33"/>
        <v>22.4</v>
      </c>
      <c r="H835" s="1005"/>
      <c r="I835" s="1005"/>
      <c r="J835" s="1005"/>
      <c r="K835" s="1005"/>
      <c r="L835" s="1005"/>
      <c r="M835" s="1005"/>
    </row>
    <row r="836" spans="1:13">
      <c r="A836" s="1049" t="s">
        <v>789</v>
      </c>
      <c r="B836" s="1071">
        <v>3.5</v>
      </c>
      <c r="C836" s="1071">
        <v>2.8</v>
      </c>
      <c r="D836" s="1071">
        <f t="shared" si="32"/>
        <v>9.7999999999999989</v>
      </c>
      <c r="E836" s="1095" t="s">
        <v>790</v>
      </c>
      <c r="F836" s="1071">
        <f>2.2*1.1</f>
        <v>2.4200000000000004</v>
      </c>
      <c r="G836" s="1096">
        <f t="shared" si="33"/>
        <v>7.379999999999999</v>
      </c>
      <c r="H836" s="1005"/>
      <c r="I836" s="1005"/>
      <c r="J836" s="1005"/>
      <c r="K836" s="1005"/>
      <c r="L836" s="1005"/>
      <c r="M836" s="1005"/>
    </row>
    <row r="837" spans="1:13">
      <c r="A837" s="1049" t="s">
        <v>791</v>
      </c>
      <c r="B837" s="1071">
        <f>2.55+2</f>
        <v>4.55</v>
      </c>
      <c r="C837" s="1071">
        <v>2.8</v>
      </c>
      <c r="D837" s="1071">
        <f t="shared" si="32"/>
        <v>12.739999999999998</v>
      </c>
      <c r="E837" s="1071"/>
      <c r="F837" s="1071"/>
      <c r="G837" s="1096">
        <f t="shared" si="33"/>
        <v>12.739999999999998</v>
      </c>
      <c r="H837" s="1005"/>
      <c r="I837" s="1005"/>
      <c r="J837" s="1005"/>
      <c r="K837" s="1005"/>
      <c r="L837" s="1005"/>
      <c r="M837" s="1005"/>
    </row>
    <row r="838" spans="1:13" ht="24">
      <c r="A838" s="1154" t="s">
        <v>792</v>
      </c>
      <c r="B838" s="1155">
        <v>4</v>
      </c>
      <c r="C838" s="1132">
        <v>2.8</v>
      </c>
      <c r="D838" s="1132">
        <f t="shared" si="32"/>
        <v>11.2</v>
      </c>
      <c r="E838" s="1156" t="s">
        <v>793</v>
      </c>
      <c r="F838" s="1132">
        <f>(1.3*2.1)+(2.3*1.1)</f>
        <v>5.26</v>
      </c>
      <c r="G838" s="1157">
        <f t="shared" si="33"/>
        <v>5.9399999999999995</v>
      </c>
      <c r="H838" s="1005"/>
      <c r="I838" s="1005"/>
      <c r="J838" s="1005"/>
      <c r="K838" s="1005"/>
      <c r="L838" s="1005"/>
      <c r="M838" s="1005"/>
    </row>
    <row r="839" spans="1:13" ht="36">
      <c r="A839" s="1154" t="s">
        <v>794</v>
      </c>
      <c r="B839" s="1155">
        <f>2.15+1.35+1.5</f>
        <v>5</v>
      </c>
      <c r="C839" s="1132">
        <v>5.23</v>
      </c>
      <c r="D839" s="1132">
        <f t="shared" si="32"/>
        <v>26.150000000000002</v>
      </c>
      <c r="E839" s="1156" t="s">
        <v>795</v>
      </c>
      <c r="F839" s="1132">
        <f>1.2*1.1+(0.8*2.1)+(0.9*2.1)</f>
        <v>4.8900000000000006</v>
      </c>
      <c r="G839" s="1157">
        <f t="shared" si="33"/>
        <v>21.26</v>
      </c>
      <c r="H839" s="1005"/>
      <c r="I839" s="1005"/>
      <c r="J839" s="1005"/>
      <c r="K839" s="1005"/>
      <c r="L839" s="1005"/>
      <c r="M839" s="1005"/>
    </row>
    <row r="840" spans="1:13">
      <c r="A840" s="1154" t="s">
        <v>796</v>
      </c>
      <c r="B840" s="1155">
        <v>1.5</v>
      </c>
      <c r="C840" s="1132">
        <v>5.23</v>
      </c>
      <c r="D840" s="1132">
        <f t="shared" si="32"/>
        <v>7.8450000000000006</v>
      </c>
      <c r="E840" s="1132"/>
      <c r="F840" s="1132"/>
      <c r="G840" s="1157">
        <f t="shared" si="33"/>
        <v>7.8450000000000006</v>
      </c>
      <c r="H840" s="1005"/>
      <c r="I840" s="1005"/>
      <c r="J840" s="1005"/>
      <c r="K840" s="1005"/>
      <c r="L840" s="1005"/>
      <c r="M840" s="1005"/>
    </row>
    <row r="841" spans="1:13" ht="48">
      <c r="A841" s="1154" t="s">
        <v>797</v>
      </c>
      <c r="B841" s="1155">
        <f>4.6+9.6</f>
        <v>14.2</v>
      </c>
      <c r="C841" s="1132">
        <v>4.7300000000000004</v>
      </c>
      <c r="D841" s="1132">
        <f t="shared" si="32"/>
        <v>67.165999999999997</v>
      </c>
      <c r="E841" s="1156" t="s">
        <v>798</v>
      </c>
      <c r="F841" s="1132">
        <f>2.3*1.1*2+(0.8*2.1)+(1*2.1)</f>
        <v>8.84</v>
      </c>
      <c r="G841" s="1157">
        <f t="shared" si="33"/>
        <v>58.325999999999993</v>
      </c>
      <c r="H841" s="1005"/>
      <c r="I841" s="1005"/>
      <c r="J841" s="1005"/>
      <c r="K841" s="1005"/>
      <c r="L841" s="1005"/>
      <c r="M841" s="1005"/>
    </row>
    <row r="842" spans="1:13">
      <c r="A842" s="1154" t="s">
        <v>799</v>
      </c>
      <c r="B842" s="1155">
        <v>4.5999999999999996</v>
      </c>
      <c r="C842" s="1132">
        <v>1.93</v>
      </c>
      <c r="D842" s="1132">
        <f t="shared" si="32"/>
        <v>8.8779999999999983</v>
      </c>
      <c r="E842" s="1132"/>
      <c r="F842" s="1132"/>
      <c r="G842" s="1157">
        <f t="shared" si="33"/>
        <v>8.8779999999999983</v>
      </c>
      <c r="H842" s="1005"/>
      <c r="I842" s="1005"/>
      <c r="J842" s="1005"/>
      <c r="K842" s="1005"/>
      <c r="L842" s="1005"/>
      <c r="M842" s="1005"/>
    </row>
    <row r="843" spans="1:13">
      <c r="A843" s="2334"/>
      <c r="B843" s="2254"/>
      <c r="C843" s="2254"/>
      <c r="D843" s="2254"/>
      <c r="E843" s="2254"/>
      <c r="F843" s="2254"/>
      <c r="G843" s="2255"/>
      <c r="H843" s="1005"/>
      <c r="I843" s="1005"/>
      <c r="J843" s="1005"/>
      <c r="K843" s="1005"/>
      <c r="L843" s="1005"/>
      <c r="M843" s="1005"/>
    </row>
    <row r="844" spans="1:13">
      <c r="A844" s="2387" t="s">
        <v>800</v>
      </c>
      <c r="B844" s="2388"/>
      <c r="C844" s="2388"/>
      <c r="D844" s="2388"/>
      <c r="E844" s="2388"/>
      <c r="F844" s="2388"/>
      <c r="G844" s="2389"/>
      <c r="H844" s="1005"/>
      <c r="I844" s="1005"/>
      <c r="J844" s="1005"/>
      <c r="K844" s="1005"/>
      <c r="L844" s="1005"/>
      <c r="M844" s="1005"/>
    </row>
    <row r="845" spans="1:13" ht="36">
      <c r="A845" s="1049" t="s">
        <v>801</v>
      </c>
      <c r="B845" s="1100">
        <f>7.5+4.65</f>
        <v>12.15</v>
      </c>
      <c r="C845" s="1071">
        <v>2.8</v>
      </c>
      <c r="D845" s="1071">
        <f t="shared" ref="D845:D853" si="34">B845*C845</f>
        <v>34.019999999999996</v>
      </c>
      <c r="E845" s="1095" t="s">
        <v>802</v>
      </c>
      <c r="F845" s="1071">
        <f>(1.6*2.1)+(3*1.1*0.6)</f>
        <v>5.34</v>
      </c>
      <c r="G845" s="1096">
        <f t="shared" ref="G845:G853" si="35">D845-F845</f>
        <v>28.679999999999996</v>
      </c>
      <c r="H845" s="1005"/>
      <c r="I845" s="1005"/>
      <c r="J845" s="1005"/>
      <c r="K845" s="1005"/>
      <c r="L845" s="1005"/>
      <c r="M845" s="1005"/>
    </row>
    <row r="846" spans="1:13" ht="24">
      <c r="A846" s="1049" t="s">
        <v>801</v>
      </c>
      <c r="B846" s="1100">
        <f>7.5+4.65</f>
        <v>12.15</v>
      </c>
      <c r="C846" s="1071">
        <v>2.8</v>
      </c>
      <c r="D846" s="1071">
        <f t="shared" si="34"/>
        <v>34.019999999999996</v>
      </c>
      <c r="E846" s="1071"/>
      <c r="F846" s="1071"/>
      <c r="G846" s="1096">
        <f t="shared" si="35"/>
        <v>34.019999999999996</v>
      </c>
      <c r="H846" s="1005"/>
      <c r="I846" s="1005"/>
      <c r="J846" s="1005"/>
      <c r="K846" s="1005"/>
      <c r="L846" s="1005"/>
      <c r="M846" s="1005"/>
    </row>
    <row r="847" spans="1:13" ht="36">
      <c r="A847" s="1049" t="s">
        <v>803</v>
      </c>
      <c r="B847" s="1153">
        <f>8.85+10.35</f>
        <v>19.2</v>
      </c>
      <c r="C847" s="1071">
        <v>2.8</v>
      </c>
      <c r="D847" s="1071">
        <f t="shared" si="34"/>
        <v>53.76</v>
      </c>
      <c r="E847" s="1095" t="s">
        <v>804</v>
      </c>
      <c r="F847" s="1071">
        <f>2.3*1.1*5</f>
        <v>12.649999999999999</v>
      </c>
      <c r="G847" s="1096">
        <f t="shared" si="35"/>
        <v>41.11</v>
      </c>
      <c r="H847" s="1005"/>
      <c r="I847" s="1005"/>
      <c r="J847" s="1005"/>
      <c r="K847" s="1005"/>
      <c r="L847" s="1005"/>
      <c r="M847" s="1005"/>
    </row>
    <row r="848" spans="1:13" ht="24">
      <c r="A848" s="1049" t="s">
        <v>805</v>
      </c>
      <c r="B848" s="1153">
        <f>4.65+4</f>
        <v>8.65</v>
      </c>
      <c r="C848" s="1071">
        <v>2.8</v>
      </c>
      <c r="D848" s="1071">
        <f t="shared" si="34"/>
        <v>24.22</v>
      </c>
      <c r="E848" s="1071"/>
      <c r="F848" s="1071"/>
      <c r="G848" s="1096">
        <f t="shared" si="35"/>
        <v>24.22</v>
      </c>
      <c r="H848" s="1005"/>
      <c r="I848" s="1005"/>
      <c r="J848" s="1005"/>
      <c r="K848" s="1005"/>
      <c r="L848" s="1005"/>
      <c r="M848" s="1005"/>
    </row>
    <row r="849" spans="1:13">
      <c r="A849" s="1049" t="s">
        <v>806</v>
      </c>
      <c r="B849" s="1153">
        <v>5.5</v>
      </c>
      <c r="C849" s="1071">
        <v>2.8</v>
      </c>
      <c r="D849" s="1071">
        <f t="shared" si="34"/>
        <v>15.399999999999999</v>
      </c>
      <c r="E849" s="1095" t="s">
        <v>807</v>
      </c>
      <c r="F849" s="1071">
        <f>2.3*1.1</f>
        <v>2.5299999999999998</v>
      </c>
      <c r="G849" s="1096">
        <f t="shared" si="35"/>
        <v>12.87</v>
      </c>
      <c r="H849" s="1005"/>
      <c r="I849" s="1005"/>
      <c r="J849" s="1005"/>
      <c r="K849" s="1005"/>
      <c r="L849" s="1005"/>
      <c r="M849" s="1005"/>
    </row>
    <row r="850" spans="1:13">
      <c r="A850" s="1049" t="s">
        <v>808</v>
      </c>
      <c r="B850" s="1153">
        <v>4.5</v>
      </c>
      <c r="C850" s="1071">
        <v>2.8</v>
      </c>
      <c r="D850" s="1071">
        <f t="shared" si="34"/>
        <v>12.6</v>
      </c>
      <c r="E850" s="1071"/>
      <c r="F850" s="1071"/>
      <c r="G850" s="1096">
        <f t="shared" si="35"/>
        <v>12.6</v>
      </c>
      <c r="H850" s="1005"/>
      <c r="I850" s="1005"/>
      <c r="J850" s="1005"/>
      <c r="K850" s="1005"/>
      <c r="L850" s="1005"/>
      <c r="M850" s="1005"/>
    </row>
    <row r="851" spans="1:13">
      <c r="A851" s="1154" t="s">
        <v>809</v>
      </c>
      <c r="B851" s="1155">
        <v>5</v>
      </c>
      <c r="C851" s="1132">
        <v>2.8</v>
      </c>
      <c r="D851" s="1132">
        <f t="shared" si="34"/>
        <v>14</v>
      </c>
      <c r="E851" s="1132"/>
      <c r="F851" s="1132"/>
      <c r="G851" s="1157">
        <f t="shared" si="35"/>
        <v>14</v>
      </c>
      <c r="H851" s="1005"/>
      <c r="I851" s="1005"/>
      <c r="J851" s="1005"/>
      <c r="K851" s="1005"/>
      <c r="L851" s="1005"/>
      <c r="M851" s="1005"/>
    </row>
    <row r="852" spans="1:13">
      <c r="A852" s="1154" t="s">
        <v>810</v>
      </c>
      <c r="B852" s="1155">
        <v>9</v>
      </c>
      <c r="C852" s="1132">
        <v>2.8</v>
      </c>
      <c r="D852" s="1132">
        <f t="shared" si="34"/>
        <v>25.2</v>
      </c>
      <c r="E852" s="1132"/>
      <c r="F852" s="1132"/>
      <c r="G852" s="1157">
        <f t="shared" si="35"/>
        <v>25.2</v>
      </c>
      <c r="H852" s="1005"/>
      <c r="I852" s="1005"/>
      <c r="J852" s="1005"/>
      <c r="K852" s="1005"/>
      <c r="L852" s="1005"/>
      <c r="M852" s="1005"/>
    </row>
    <row r="853" spans="1:13" ht="24">
      <c r="A853" s="1154" t="s">
        <v>811</v>
      </c>
      <c r="B853" s="1155">
        <v>6.15</v>
      </c>
      <c r="C853" s="1132">
        <v>5.23</v>
      </c>
      <c r="D853" s="1132">
        <f t="shared" si="34"/>
        <v>32.164500000000004</v>
      </c>
      <c r="E853" s="1156" t="s">
        <v>925</v>
      </c>
      <c r="F853" s="1132">
        <f>0.8*2.1*4</f>
        <v>6.7200000000000006</v>
      </c>
      <c r="G853" s="1157">
        <f t="shared" si="35"/>
        <v>25.444500000000005</v>
      </c>
      <c r="H853" s="1005"/>
      <c r="I853" s="1005"/>
      <c r="J853" s="1005"/>
      <c r="K853" s="1005"/>
      <c r="L853" s="1005"/>
      <c r="M853" s="1005"/>
    </row>
    <row r="854" spans="1:13">
      <c r="A854" s="2334"/>
      <c r="B854" s="2254"/>
      <c r="C854" s="2254"/>
      <c r="D854" s="2254"/>
      <c r="E854" s="2254"/>
      <c r="F854" s="2254"/>
      <c r="G854" s="2255"/>
      <c r="H854" s="1005"/>
      <c r="I854" s="1005"/>
      <c r="J854" s="1005"/>
      <c r="K854" s="1005"/>
      <c r="L854" s="1005"/>
      <c r="M854" s="1005"/>
    </row>
    <row r="855" spans="1:13">
      <c r="A855" s="2271" t="s">
        <v>2159</v>
      </c>
      <c r="B855" s="2274"/>
      <c r="C855" s="2274"/>
      <c r="D855" s="2274"/>
      <c r="E855" s="2274"/>
      <c r="F855" s="2274"/>
      <c r="G855" s="2275"/>
      <c r="H855" s="1005"/>
      <c r="I855" s="1271"/>
      <c r="J855" s="1005"/>
      <c r="K855" s="1005"/>
      <c r="L855" s="1005"/>
      <c r="M855" s="1005"/>
    </row>
    <row r="856" spans="1:13">
      <c r="A856" s="2375"/>
      <c r="B856" s="2376"/>
      <c r="C856" s="2381" t="s">
        <v>772</v>
      </c>
      <c r="D856" s="2382"/>
      <c r="E856" s="2382"/>
      <c r="F856" s="2383"/>
      <c r="G856" s="1096"/>
      <c r="H856" s="1005"/>
      <c r="I856" s="1005"/>
      <c r="J856" s="1005"/>
      <c r="K856" s="1005"/>
      <c r="L856" s="1005"/>
      <c r="M856" s="1005"/>
    </row>
    <row r="857" spans="1:13">
      <c r="A857" s="2377"/>
      <c r="B857" s="2378"/>
      <c r="C857" s="2384" t="s">
        <v>324</v>
      </c>
      <c r="D857" s="2385"/>
      <c r="E857" s="2385"/>
      <c r="F857" s="2386"/>
      <c r="G857" s="1159">
        <f>ROUNDUP(G821+G822+G823+G824+G825+G826+G827+G828,2)</f>
        <v>48.91</v>
      </c>
      <c r="H857" s="1005"/>
      <c r="I857" s="1005"/>
      <c r="J857" s="1005"/>
      <c r="K857" s="1005"/>
      <c r="L857" s="1005"/>
      <c r="M857" s="1005"/>
    </row>
    <row r="858" spans="1:13">
      <c r="A858" s="2377"/>
      <c r="B858" s="2378"/>
      <c r="C858" s="2381" t="s">
        <v>782</v>
      </c>
      <c r="D858" s="2382"/>
      <c r="E858" s="2382"/>
      <c r="F858" s="2383"/>
      <c r="G858" s="1160"/>
      <c r="H858" s="1005"/>
      <c r="I858" s="1005"/>
      <c r="J858" s="1005"/>
      <c r="K858" s="1005"/>
      <c r="L858" s="1005"/>
      <c r="M858" s="1005"/>
    </row>
    <row r="859" spans="1:13">
      <c r="A859" s="2377"/>
      <c r="B859" s="2378"/>
      <c r="C859" s="2384" t="s">
        <v>324</v>
      </c>
      <c r="D859" s="2385"/>
      <c r="E859" s="2385"/>
      <c r="F859" s="2386"/>
      <c r="G859" s="1159">
        <f>ROUNDUP(G831+G832+G833+G834+G835+G836+G837+G838+G839+G840+G841+G842,2)</f>
        <v>205.01</v>
      </c>
      <c r="H859" s="1005"/>
      <c r="I859" s="1005"/>
      <c r="J859" s="1005"/>
      <c r="K859" s="1005"/>
      <c r="L859" s="1005"/>
      <c r="M859" s="1005"/>
    </row>
    <row r="860" spans="1:13">
      <c r="A860" s="2377"/>
      <c r="B860" s="2378"/>
      <c r="C860" s="2381" t="s">
        <v>800</v>
      </c>
      <c r="D860" s="2382"/>
      <c r="E860" s="2382"/>
      <c r="F860" s="2383"/>
      <c r="G860" s="1160"/>
      <c r="H860" s="1005"/>
      <c r="I860" s="1005"/>
      <c r="J860" s="1005"/>
      <c r="K860" s="1005"/>
      <c r="L860" s="1005"/>
      <c r="M860" s="1005"/>
    </row>
    <row r="861" spans="1:13">
      <c r="A861" s="2379"/>
      <c r="B861" s="2380"/>
      <c r="C861" s="2384" t="s">
        <v>324</v>
      </c>
      <c r="D861" s="2385"/>
      <c r="E861" s="2385"/>
      <c r="F861" s="2386"/>
      <c r="G861" s="1159">
        <f>ROUNDUP(G845+G851+G852+G846+G847+G849+G850+G853,2)</f>
        <v>193.92999999999998</v>
      </c>
      <c r="H861" s="1005"/>
      <c r="I861" s="1005"/>
      <c r="J861" s="1005"/>
      <c r="K861" s="1005"/>
      <c r="L861" s="1005"/>
      <c r="M861" s="1005"/>
    </row>
    <row r="862" spans="1:13" ht="15.75" thickBot="1">
      <c r="A862" s="2372" t="s">
        <v>357</v>
      </c>
      <c r="B862" s="2373"/>
      <c r="C862" s="2373"/>
      <c r="D862" s="2373"/>
      <c r="E862" s="2373"/>
      <c r="F862" s="2374"/>
      <c r="G862" s="1180">
        <f>ROUNDUP(G857+G859+G861,2)</f>
        <v>447.85</v>
      </c>
      <c r="H862" s="1005"/>
      <c r="I862" s="1005"/>
      <c r="J862" s="1005"/>
      <c r="K862" s="1005"/>
      <c r="L862" s="1005"/>
      <c r="M862" s="1005"/>
    </row>
    <row r="863" spans="1:13" ht="15.75" thickBot="1">
      <c r="A863" s="1067"/>
      <c r="B863" s="1068"/>
      <c r="C863" s="1068"/>
      <c r="D863" s="1068"/>
      <c r="E863" s="1068"/>
      <c r="F863" s="1068"/>
      <c r="G863" s="1069"/>
      <c r="H863" s="1005"/>
      <c r="I863" s="1005"/>
      <c r="J863" s="1005"/>
      <c r="K863" s="1005"/>
      <c r="L863" s="1005"/>
      <c r="M863" s="1005"/>
    </row>
    <row r="864" spans="1:13" ht="15.75" thickBot="1">
      <c r="A864" s="1019" t="s">
        <v>92</v>
      </c>
      <c r="B864" s="2262" t="s">
        <v>927</v>
      </c>
      <c r="C864" s="2263"/>
      <c r="D864" s="2263"/>
      <c r="E864" s="2263"/>
      <c r="F864" s="2263"/>
      <c r="G864" s="2264"/>
      <c r="H864" s="1005"/>
      <c r="I864" s="1005"/>
      <c r="J864" s="1005"/>
      <c r="K864" s="1005"/>
      <c r="L864" s="1005"/>
      <c r="M864" s="1005"/>
    </row>
    <row r="865" spans="1:13">
      <c r="A865" s="2265" t="s">
        <v>923</v>
      </c>
      <c r="B865" s="2266"/>
      <c r="C865" s="2266"/>
      <c r="D865" s="2266"/>
      <c r="E865" s="2266"/>
      <c r="F865" s="2266"/>
      <c r="G865" s="2267"/>
      <c r="H865" s="1005"/>
      <c r="I865" s="1005"/>
      <c r="J865" s="1005"/>
      <c r="K865" s="1005"/>
      <c r="L865" s="1005"/>
      <c r="M865" s="1005"/>
    </row>
    <row r="866" spans="1:13">
      <c r="A866" s="2268" t="s">
        <v>924</v>
      </c>
      <c r="B866" s="2269"/>
      <c r="C866" s="2269"/>
      <c r="D866" s="2269"/>
      <c r="E866" s="2269"/>
      <c r="F866" s="2269"/>
      <c r="G866" s="2270"/>
      <c r="H866" s="1005"/>
      <c r="I866" s="1005"/>
      <c r="J866" s="1005"/>
      <c r="K866" s="1005"/>
      <c r="L866" s="1005"/>
      <c r="M866" s="1005"/>
    </row>
    <row r="867" spans="1:13">
      <c r="A867" s="1034" t="s">
        <v>339</v>
      </c>
      <c r="B867" s="1035" t="s">
        <v>339</v>
      </c>
      <c r="C867" s="1035" t="s">
        <v>349</v>
      </c>
      <c r="D867" s="1035" t="s">
        <v>350</v>
      </c>
      <c r="E867" s="1035" t="s">
        <v>351</v>
      </c>
      <c r="F867" s="1035" t="s">
        <v>352</v>
      </c>
      <c r="G867" s="1093" t="s">
        <v>353</v>
      </c>
      <c r="H867" s="1005"/>
      <c r="I867" s="1005"/>
      <c r="J867" s="1005"/>
      <c r="K867" s="1005"/>
      <c r="L867" s="1005"/>
      <c r="M867" s="1005"/>
    </row>
    <row r="868" spans="1:13">
      <c r="A868" s="2387" t="s">
        <v>772</v>
      </c>
      <c r="B868" s="2388"/>
      <c r="C868" s="2388"/>
      <c r="D868" s="2388"/>
      <c r="E868" s="2388"/>
      <c r="F868" s="2388"/>
      <c r="G868" s="2389"/>
      <c r="H868" s="1005"/>
      <c r="I868" s="1005"/>
      <c r="J868" s="1005"/>
      <c r="K868" s="1005"/>
      <c r="L868" s="1005"/>
      <c r="M868" s="1005"/>
    </row>
    <row r="869" spans="1:13">
      <c r="A869" s="1049" t="s">
        <v>773</v>
      </c>
      <c r="B869" s="1071">
        <v>1.5</v>
      </c>
      <c r="C869" s="1071">
        <v>2.8</v>
      </c>
      <c r="D869" s="1071">
        <f t="shared" ref="D869:D876" si="36">B869*C869</f>
        <v>4.1999999999999993</v>
      </c>
      <c r="E869" s="1071"/>
      <c r="F869" s="1071"/>
      <c r="G869" s="1096">
        <f t="shared" ref="G869:G876" si="37">D869-F869</f>
        <v>4.1999999999999993</v>
      </c>
      <c r="H869" s="1005"/>
      <c r="I869" s="1005"/>
      <c r="J869" s="1005"/>
      <c r="K869" s="1005"/>
      <c r="L869" s="1005"/>
      <c r="M869" s="1005"/>
    </row>
    <row r="870" spans="1:13">
      <c r="A870" s="1049" t="s">
        <v>774</v>
      </c>
      <c r="B870" s="1153">
        <v>1.95</v>
      </c>
      <c r="C870" s="1071">
        <v>2.8</v>
      </c>
      <c r="D870" s="1071">
        <f t="shared" si="36"/>
        <v>5.46</v>
      </c>
      <c r="E870" s="1095" t="s">
        <v>775</v>
      </c>
      <c r="F870" s="1071">
        <f>0.8*2.1</f>
        <v>1.6800000000000002</v>
      </c>
      <c r="G870" s="1096">
        <f t="shared" si="37"/>
        <v>3.78</v>
      </c>
      <c r="H870" s="1005"/>
      <c r="I870" s="1005"/>
      <c r="J870" s="1005"/>
      <c r="K870" s="1005"/>
      <c r="L870" s="1005"/>
      <c r="M870" s="1005"/>
    </row>
    <row r="871" spans="1:13" ht="36">
      <c r="A871" s="1049" t="s">
        <v>776</v>
      </c>
      <c r="B871" s="1071">
        <f>1.05+2.85+3.85+1.85+1.08+2</f>
        <v>12.68</v>
      </c>
      <c r="C871" s="1071">
        <v>0.7</v>
      </c>
      <c r="D871" s="1071">
        <f t="shared" si="36"/>
        <v>8.8759999999999994</v>
      </c>
      <c r="E871" s="1071"/>
      <c r="F871" s="1071"/>
      <c r="G871" s="1096">
        <f t="shared" si="37"/>
        <v>8.8759999999999994</v>
      </c>
      <c r="H871" s="1005"/>
      <c r="I871" s="1005"/>
      <c r="J871" s="1005"/>
      <c r="K871" s="1005"/>
      <c r="L871" s="1005"/>
      <c r="M871" s="1005"/>
    </row>
    <row r="872" spans="1:13" ht="36">
      <c r="A872" s="1049" t="s">
        <v>777</v>
      </c>
      <c r="B872" s="1071">
        <f>1.05+2.85+3.85+1.85+1.08+2</f>
        <v>12.68</v>
      </c>
      <c r="C872" s="1071">
        <v>0.7</v>
      </c>
      <c r="D872" s="1071">
        <f t="shared" si="36"/>
        <v>8.8759999999999994</v>
      </c>
      <c r="E872" s="1071"/>
      <c r="F872" s="1071"/>
      <c r="G872" s="1096">
        <f t="shared" si="37"/>
        <v>8.8759999999999994</v>
      </c>
      <c r="H872" s="1005"/>
      <c r="I872" s="1005"/>
      <c r="J872" s="1005"/>
      <c r="K872" s="1005"/>
      <c r="L872" s="1005"/>
      <c r="M872" s="1005"/>
    </row>
    <row r="873" spans="1:13" ht="24">
      <c r="A873" s="1049" t="s">
        <v>778</v>
      </c>
      <c r="B873" s="1071">
        <f>1.85+1.65+1.85+1.65</f>
        <v>7</v>
      </c>
      <c r="C873" s="1071">
        <v>0.7</v>
      </c>
      <c r="D873" s="1071">
        <f t="shared" si="36"/>
        <v>4.8999999999999995</v>
      </c>
      <c r="E873" s="1071"/>
      <c r="F873" s="1071"/>
      <c r="G873" s="1096">
        <f t="shared" si="37"/>
        <v>4.8999999999999995</v>
      </c>
      <c r="H873" s="1005"/>
      <c r="I873" s="1005"/>
      <c r="J873" s="1005"/>
      <c r="K873" s="1005"/>
      <c r="L873" s="1005"/>
      <c r="M873" s="1005"/>
    </row>
    <row r="874" spans="1:13" ht="24">
      <c r="A874" s="1049" t="s">
        <v>779</v>
      </c>
      <c r="B874" s="1071">
        <f>1.85+1.65+1.85+1.65</f>
        <v>7</v>
      </c>
      <c r="C874" s="1071">
        <v>0.7</v>
      </c>
      <c r="D874" s="1071">
        <f t="shared" si="36"/>
        <v>4.8999999999999995</v>
      </c>
      <c r="E874" s="1071"/>
      <c r="F874" s="1071"/>
      <c r="G874" s="1096">
        <f t="shared" si="37"/>
        <v>4.8999999999999995</v>
      </c>
      <c r="H874" s="1005"/>
      <c r="I874" s="1005"/>
      <c r="J874" s="1005"/>
      <c r="K874" s="1005"/>
      <c r="L874" s="1005"/>
      <c r="M874" s="1005"/>
    </row>
    <row r="875" spans="1:13" ht="24">
      <c r="A875" s="1049" t="s">
        <v>780</v>
      </c>
      <c r="B875" s="1071">
        <f>1.35+1.35+2.35+2.35</f>
        <v>7.4</v>
      </c>
      <c r="C875" s="1071">
        <v>0.7</v>
      </c>
      <c r="D875" s="1071">
        <f t="shared" si="36"/>
        <v>5.18</v>
      </c>
      <c r="E875" s="1071"/>
      <c r="F875" s="1071"/>
      <c r="G875" s="1096">
        <f t="shared" si="37"/>
        <v>5.18</v>
      </c>
      <c r="H875" s="1005"/>
      <c r="I875" s="1005"/>
      <c r="J875" s="1005"/>
      <c r="K875" s="1005"/>
      <c r="L875" s="1005"/>
      <c r="M875" s="1005"/>
    </row>
    <row r="876" spans="1:13" ht="24">
      <c r="A876" s="1049" t="s">
        <v>781</v>
      </c>
      <c r="B876" s="1071">
        <f>3.85+3.85+2+2</f>
        <v>11.7</v>
      </c>
      <c r="C876" s="1071">
        <v>0.7</v>
      </c>
      <c r="D876" s="1071">
        <f t="shared" si="36"/>
        <v>8.19</v>
      </c>
      <c r="E876" s="1071"/>
      <c r="F876" s="1071"/>
      <c r="G876" s="1096">
        <f t="shared" si="37"/>
        <v>8.19</v>
      </c>
      <c r="H876" s="1005"/>
      <c r="I876" s="1005"/>
      <c r="J876" s="1005"/>
      <c r="K876" s="1005"/>
      <c r="L876" s="1005"/>
      <c r="M876" s="1005"/>
    </row>
    <row r="877" spans="1:13">
      <c r="A877" s="2334"/>
      <c r="B877" s="2254"/>
      <c r="C877" s="2254"/>
      <c r="D877" s="2254"/>
      <c r="E877" s="2254"/>
      <c r="F877" s="2254"/>
      <c r="G877" s="2255"/>
      <c r="H877" s="1005"/>
      <c r="I877" s="1005"/>
      <c r="J877" s="1005"/>
      <c r="K877" s="1005"/>
      <c r="L877" s="1005"/>
      <c r="M877" s="1005"/>
    </row>
    <row r="878" spans="1:13">
      <c r="A878" s="2387" t="s">
        <v>782</v>
      </c>
      <c r="B878" s="2388"/>
      <c r="C878" s="2388"/>
      <c r="D878" s="2388"/>
      <c r="E878" s="2388"/>
      <c r="F878" s="2388"/>
      <c r="G878" s="2389"/>
      <c r="H878" s="1005"/>
      <c r="I878" s="1005"/>
      <c r="J878" s="1005"/>
      <c r="K878" s="1005"/>
      <c r="L878" s="1005"/>
      <c r="M878" s="1005"/>
    </row>
    <row r="879" spans="1:13">
      <c r="A879" s="1049" t="s">
        <v>783</v>
      </c>
      <c r="B879" s="1071">
        <v>3.5</v>
      </c>
      <c r="C879" s="1071">
        <v>2.8</v>
      </c>
      <c r="D879" s="1071">
        <f t="shared" ref="D879:D890" si="38">B879*C879</f>
        <v>9.7999999999999989</v>
      </c>
      <c r="E879" s="1095" t="s">
        <v>775</v>
      </c>
      <c r="F879" s="1071">
        <f>0.8*2.1</f>
        <v>1.6800000000000002</v>
      </c>
      <c r="G879" s="1096">
        <f t="shared" ref="G879:G890" si="39">D879-F879</f>
        <v>8.1199999999999992</v>
      </c>
      <c r="H879" s="1005"/>
      <c r="I879" s="1005"/>
      <c r="J879" s="1005"/>
      <c r="K879" s="1005"/>
      <c r="L879" s="1005"/>
      <c r="M879" s="1005"/>
    </row>
    <row r="880" spans="1:13" ht="36">
      <c r="A880" s="1049" t="s">
        <v>784</v>
      </c>
      <c r="B880" s="1071">
        <f>3.15+3.5</f>
        <v>6.65</v>
      </c>
      <c r="C880" s="1071">
        <v>2.8</v>
      </c>
      <c r="D880" s="1071">
        <f t="shared" si="38"/>
        <v>18.62</v>
      </c>
      <c r="E880" s="1095" t="s">
        <v>785</v>
      </c>
      <c r="F880" s="1071">
        <f>(0.8*2.1)+(1.1*0.6*2)</f>
        <v>3</v>
      </c>
      <c r="G880" s="1096">
        <f t="shared" si="39"/>
        <v>15.620000000000001</v>
      </c>
      <c r="H880" s="1005"/>
      <c r="I880" s="1005"/>
      <c r="J880" s="1005"/>
      <c r="K880" s="1005"/>
      <c r="L880" s="1005"/>
      <c r="M880" s="1005"/>
    </row>
    <row r="881" spans="1:13">
      <c r="A881" s="1049" t="s">
        <v>786</v>
      </c>
      <c r="B881" s="1071">
        <f>3.35+3.15</f>
        <v>6.5</v>
      </c>
      <c r="C881" s="1071">
        <v>2.8</v>
      </c>
      <c r="D881" s="1071">
        <f t="shared" si="38"/>
        <v>18.2</v>
      </c>
      <c r="E881" s="1071"/>
      <c r="F881" s="1071"/>
      <c r="G881" s="1096">
        <f t="shared" si="39"/>
        <v>18.2</v>
      </c>
      <c r="H881" s="1005"/>
      <c r="I881" s="1005"/>
      <c r="J881" s="1005"/>
      <c r="K881" s="1005"/>
      <c r="L881" s="1005"/>
      <c r="M881" s="1005"/>
    </row>
    <row r="882" spans="1:13" ht="24">
      <c r="A882" s="1049" t="s">
        <v>787</v>
      </c>
      <c r="B882" s="1071">
        <v>8</v>
      </c>
      <c r="C882" s="1071">
        <v>2.8</v>
      </c>
      <c r="D882" s="1071">
        <f t="shared" si="38"/>
        <v>22.4</v>
      </c>
      <c r="E882" s="1095" t="s">
        <v>788</v>
      </c>
      <c r="F882" s="1071">
        <f>(2.2*1.1)+(0.8*2.1)</f>
        <v>4.1000000000000005</v>
      </c>
      <c r="G882" s="1096">
        <f t="shared" si="39"/>
        <v>18.299999999999997</v>
      </c>
      <c r="H882" s="1005"/>
      <c r="I882" s="1005"/>
      <c r="J882" s="1005"/>
      <c r="K882" s="1005"/>
      <c r="L882" s="1005"/>
      <c r="M882" s="1005"/>
    </row>
    <row r="883" spans="1:13" ht="24">
      <c r="A883" s="1049" t="s">
        <v>787</v>
      </c>
      <c r="B883" s="1071">
        <v>8</v>
      </c>
      <c r="C883" s="1071">
        <v>2.8</v>
      </c>
      <c r="D883" s="1071">
        <f t="shared" si="38"/>
        <v>22.4</v>
      </c>
      <c r="E883" s="1071"/>
      <c r="F883" s="1071"/>
      <c r="G883" s="1096">
        <f t="shared" si="39"/>
        <v>22.4</v>
      </c>
      <c r="H883" s="1005"/>
      <c r="I883" s="1005"/>
      <c r="J883" s="1005"/>
      <c r="K883" s="1005"/>
      <c r="L883" s="1005"/>
      <c r="M883" s="1005"/>
    </row>
    <row r="884" spans="1:13">
      <c r="A884" s="1049" t="s">
        <v>789</v>
      </c>
      <c r="B884" s="1071">
        <v>3.5</v>
      </c>
      <c r="C884" s="1071">
        <v>2.8</v>
      </c>
      <c r="D884" s="1071">
        <f t="shared" si="38"/>
        <v>9.7999999999999989</v>
      </c>
      <c r="E884" s="1095" t="s">
        <v>790</v>
      </c>
      <c r="F884" s="1071">
        <f>2.2*1.1</f>
        <v>2.4200000000000004</v>
      </c>
      <c r="G884" s="1096">
        <f t="shared" si="39"/>
        <v>7.379999999999999</v>
      </c>
      <c r="H884" s="1005"/>
      <c r="I884" s="1005"/>
      <c r="J884" s="1005"/>
      <c r="K884" s="1005"/>
      <c r="L884" s="1005"/>
      <c r="M884" s="1005"/>
    </row>
    <row r="885" spans="1:13">
      <c r="A885" s="1049" t="s">
        <v>791</v>
      </c>
      <c r="B885" s="1071">
        <f>2.55+2</f>
        <v>4.55</v>
      </c>
      <c r="C885" s="1071">
        <v>2.8</v>
      </c>
      <c r="D885" s="1071">
        <f t="shared" si="38"/>
        <v>12.739999999999998</v>
      </c>
      <c r="E885" s="1071"/>
      <c r="F885" s="1071"/>
      <c r="G885" s="1096">
        <f t="shared" si="39"/>
        <v>12.739999999999998</v>
      </c>
      <c r="H885" s="1005"/>
      <c r="I885" s="1005"/>
      <c r="J885" s="1005"/>
      <c r="K885" s="1005"/>
      <c r="L885" s="1005"/>
      <c r="M885" s="1005"/>
    </row>
    <row r="886" spans="1:13" ht="24">
      <c r="A886" s="1154" t="s">
        <v>792</v>
      </c>
      <c r="B886" s="1155">
        <v>4</v>
      </c>
      <c r="C886" s="1132">
        <v>2.8</v>
      </c>
      <c r="D886" s="1132">
        <f t="shared" si="38"/>
        <v>11.2</v>
      </c>
      <c r="E886" s="1156" t="s">
        <v>793</v>
      </c>
      <c r="F886" s="1132">
        <f>(1.3*2.1)+(2.3*1.1)</f>
        <v>5.26</v>
      </c>
      <c r="G886" s="1157">
        <f t="shared" si="39"/>
        <v>5.9399999999999995</v>
      </c>
      <c r="H886" s="1005"/>
      <c r="I886" s="1005"/>
      <c r="J886" s="1005"/>
      <c r="K886" s="1005"/>
      <c r="L886" s="1005"/>
      <c r="M886" s="1005"/>
    </row>
    <row r="887" spans="1:13" ht="36">
      <c r="A887" s="1154" t="s">
        <v>794</v>
      </c>
      <c r="B887" s="1155">
        <f>2.15+1.35+1.5</f>
        <v>5</v>
      </c>
      <c r="C887" s="1132">
        <v>5.23</v>
      </c>
      <c r="D887" s="1132">
        <f t="shared" si="38"/>
        <v>26.150000000000002</v>
      </c>
      <c r="E887" s="1156" t="s">
        <v>795</v>
      </c>
      <c r="F887" s="1132">
        <f>1.2*1.1+(0.8*2.1)+(0.9*2.1)</f>
        <v>4.8900000000000006</v>
      </c>
      <c r="G887" s="1157">
        <f t="shared" si="39"/>
        <v>21.26</v>
      </c>
      <c r="H887" s="1005"/>
      <c r="I887" s="1005"/>
      <c r="J887" s="1005"/>
      <c r="K887" s="1005"/>
      <c r="L887" s="1005"/>
      <c r="M887" s="1005"/>
    </row>
    <row r="888" spans="1:13">
      <c r="A888" s="1154" t="s">
        <v>796</v>
      </c>
      <c r="B888" s="1155">
        <v>1.5</v>
      </c>
      <c r="C888" s="1132">
        <v>5.23</v>
      </c>
      <c r="D888" s="1132">
        <f t="shared" si="38"/>
        <v>7.8450000000000006</v>
      </c>
      <c r="E888" s="1132"/>
      <c r="F888" s="1132"/>
      <c r="G888" s="1157">
        <f t="shared" si="39"/>
        <v>7.8450000000000006</v>
      </c>
      <c r="H888" s="1005"/>
      <c r="I888" s="1005"/>
      <c r="J888" s="1005"/>
      <c r="K888" s="1005"/>
      <c r="L888" s="1005"/>
      <c r="M888" s="1005"/>
    </row>
    <row r="889" spans="1:13" ht="48">
      <c r="A889" s="1154" t="s">
        <v>797</v>
      </c>
      <c r="B889" s="1155">
        <f>4.6+9.6</f>
        <v>14.2</v>
      </c>
      <c r="C889" s="1132">
        <v>4.7300000000000004</v>
      </c>
      <c r="D889" s="1132">
        <f t="shared" si="38"/>
        <v>67.165999999999997</v>
      </c>
      <c r="E889" s="1156" t="s">
        <v>798</v>
      </c>
      <c r="F889" s="1132">
        <f>2.3*1.1*2+(0.8*2.1)+(1*2.1)</f>
        <v>8.84</v>
      </c>
      <c r="G889" s="1157">
        <f t="shared" si="39"/>
        <v>58.325999999999993</v>
      </c>
      <c r="H889" s="1005"/>
      <c r="I889" s="1005"/>
      <c r="J889" s="1005"/>
      <c r="K889" s="1005"/>
      <c r="L889" s="1005"/>
      <c r="M889" s="1005"/>
    </row>
    <row r="890" spans="1:13">
      <c r="A890" s="1154" t="s">
        <v>799</v>
      </c>
      <c r="B890" s="1155">
        <v>4.5999999999999996</v>
      </c>
      <c r="C890" s="1132">
        <v>1.93</v>
      </c>
      <c r="D890" s="1132">
        <f t="shared" si="38"/>
        <v>8.8779999999999983</v>
      </c>
      <c r="E890" s="1132"/>
      <c r="F890" s="1132"/>
      <c r="G890" s="1157">
        <f t="shared" si="39"/>
        <v>8.8779999999999983</v>
      </c>
      <c r="H890" s="1005"/>
      <c r="I890" s="1005"/>
      <c r="J890" s="1005"/>
      <c r="K890" s="1005"/>
      <c r="L890" s="1005"/>
      <c r="M890" s="1005"/>
    </row>
    <row r="891" spans="1:13">
      <c r="A891" s="2334"/>
      <c r="B891" s="2254"/>
      <c r="C891" s="2254"/>
      <c r="D891" s="2254"/>
      <c r="E891" s="2254"/>
      <c r="F891" s="2254"/>
      <c r="G891" s="2255"/>
      <c r="H891" s="1005"/>
      <c r="I891" s="1005"/>
      <c r="J891" s="1005"/>
      <c r="K891" s="1005"/>
      <c r="L891" s="1005"/>
      <c r="M891" s="1005"/>
    </row>
    <row r="892" spans="1:13">
      <c r="A892" s="2387" t="s">
        <v>800</v>
      </c>
      <c r="B892" s="2388"/>
      <c r="C892" s="2388"/>
      <c r="D892" s="2388"/>
      <c r="E892" s="2388"/>
      <c r="F892" s="2388"/>
      <c r="G892" s="2389"/>
      <c r="H892" s="1005"/>
      <c r="I892" s="1005"/>
      <c r="J892" s="1005"/>
      <c r="K892" s="1005"/>
      <c r="L892" s="1005"/>
      <c r="M892" s="1005"/>
    </row>
    <row r="893" spans="1:13" ht="36">
      <c r="A893" s="1049" t="s">
        <v>801</v>
      </c>
      <c r="B893" s="1100">
        <f>7.5+4.65</f>
        <v>12.15</v>
      </c>
      <c r="C893" s="1071">
        <v>2.8</v>
      </c>
      <c r="D893" s="1071">
        <f t="shared" ref="D893:D901" si="40">B893*C893</f>
        <v>34.019999999999996</v>
      </c>
      <c r="E893" s="1095" t="s">
        <v>802</v>
      </c>
      <c r="F893" s="1071">
        <f>(1.6*2.1)+(3*1.1*0.6)</f>
        <v>5.34</v>
      </c>
      <c r="G893" s="1096">
        <f t="shared" ref="G893:G901" si="41">D893-F893</f>
        <v>28.679999999999996</v>
      </c>
      <c r="H893" s="1005"/>
      <c r="I893" s="1005"/>
      <c r="J893" s="1005"/>
      <c r="K893" s="1005"/>
      <c r="L893" s="1005"/>
      <c r="M893" s="1005"/>
    </row>
    <row r="894" spans="1:13" ht="24">
      <c r="A894" s="1049" t="s">
        <v>801</v>
      </c>
      <c r="B894" s="1100">
        <f>7.5+4.65</f>
        <v>12.15</v>
      </c>
      <c r="C894" s="1071">
        <v>2.8</v>
      </c>
      <c r="D894" s="1071">
        <f t="shared" si="40"/>
        <v>34.019999999999996</v>
      </c>
      <c r="E894" s="1071"/>
      <c r="F894" s="1071"/>
      <c r="G894" s="1096">
        <f t="shared" si="41"/>
        <v>34.019999999999996</v>
      </c>
      <c r="H894" s="1005"/>
      <c r="I894" s="1005"/>
      <c r="J894" s="1005"/>
      <c r="K894" s="1005"/>
      <c r="L894" s="1005"/>
      <c r="M894" s="1005"/>
    </row>
    <row r="895" spans="1:13" ht="36">
      <c r="A895" s="1049" t="s">
        <v>803</v>
      </c>
      <c r="B895" s="1153">
        <f>8.85+10.35</f>
        <v>19.2</v>
      </c>
      <c r="C895" s="1071">
        <v>2.8</v>
      </c>
      <c r="D895" s="1071">
        <f t="shared" si="40"/>
        <v>53.76</v>
      </c>
      <c r="E895" s="1095" t="s">
        <v>804</v>
      </c>
      <c r="F895" s="1071">
        <f>2.3*1.1*5</f>
        <v>12.649999999999999</v>
      </c>
      <c r="G895" s="1096">
        <f t="shared" si="41"/>
        <v>41.11</v>
      </c>
      <c r="H895" s="1005"/>
      <c r="I895" s="1005"/>
      <c r="J895" s="1005"/>
      <c r="K895" s="1005"/>
      <c r="L895" s="1005"/>
      <c r="M895" s="1005"/>
    </row>
    <row r="896" spans="1:13" ht="24">
      <c r="A896" s="1049" t="s">
        <v>805</v>
      </c>
      <c r="B896" s="1153">
        <f>4.65+4</f>
        <v>8.65</v>
      </c>
      <c r="C896" s="1071">
        <v>2.8</v>
      </c>
      <c r="D896" s="1071">
        <f t="shared" si="40"/>
        <v>24.22</v>
      </c>
      <c r="E896" s="1071"/>
      <c r="F896" s="1071"/>
      <c r="G896" s="1096">
        <f t="shared" si="41"/>
        <v>24.22</v>
      </c>
      <c r="H896" s="1005"/>
      <c r="I896" s="1005"/>
      <c r="J896" s="1005"/>
      <c r="K896" s="1005"/>
      <c r="L896" s="1005"/>
      <c r="M896" s="1005"/>
    </row>
    <row r="897" spans="1:13">
      <c r="A897" s="1049" t="s">
        <v>806</v>
      </c>
      <c r="B897" s="1153">
        <v>5.5</v>
      </c>
      <c r="C897" s="1071">
        <v>2.8</v>
      </c>
      <c r="D897" s="1071">
        <f t="shared" si="40"/>
        <v>15.399999999999999</v>
      </c>
      <c r="E897" s="1095" t="s">
        <v>807</v>
      </c>
      <c r="F897" s="1071">
        <f>2.3*1.1</f>
        <v>2.5299999999999998</v>
      </c>
      <c r="G897" s="1096">
        <f t="shared" si="41"/>
        <v>12.87</v>
      </c>
      <c r="H897" s="1005"/>
      <c r="I897" s="1005"/>
      <c r="J897" s="1005"/>
      <c r="K897" s="1005"/>
      <c r="L897" s="1005"/>
      <c r="M897" s="1005"/>
    </row>
    <row r="898" spans="1:13">
      <c r="A898" s="1049" t="s">
        <v>808</v>
      </c>
      <c r="B898" s="1153">
        <v>4.5</v>
      </c>
      <c r="C898" s="1071">
        <v>2.8</v>
      </c>
      <c r="D898" s="1071">
        <f t="shared" si="40"/>
        <v>12.6</v>
      </c>
      <c r="E898" s="1071"/>
      <c r="F898" s="1071"/>
      <c r="G898" s="1096">
        <f t="shared" si="41"/>
        <v>12.6</v>
      </c>
      <c r="H898" s="1005"/>
      <c r="I898" s="1005"/>
      <c r="J898" s="1005"/>
      <c r="K898" s="1005"/>
      <c r="L898" s="1005"/>
      <c r="M898" s="1005"/>
    </row>
    <row r="899" spans="1:13">
      <c r="A899" s="1154" t="s">
        <v>809</v>
      </c>
      <c r="B899" s="1155">
        <v>5</v>
      </c>
      <c r="C899" s="1132">
        <v>2.8</v>
      </c>
      <c r="D899" s="1132">
        <f t="shared" si="40"/>
        <v>14</v>
      </c>
      <c r="E899" s="1132"/>
      <c r="F899" s="1132"/>
      <c r="G899" s="1157">
        <f t="shared" si="41"/>
        <v>14</v>
      </c>
      <c r="H899" s="1005"/>
      <c r="I899" s="1005"/>
      <c r="J899" s="1005"/>
      <c r="K899" s="1005"/>
      <c r="L899" s="1005"/>
      <c r="M899" s="1005"/>
    </row>
    <row r="900" spans="1:13">
      <c r="A900" s="1154" t="s">
        <v>810</v>
      </c>
      <c r="B900" s="1155">
        <v>9</v>
      </c>
      <c r="C900" s="1132">
        <v>2.8</v>
      </c>
      <c r="D900" s="1132">
        <f t="shared" si="40"/>
        <v>25.2</v>
      </c>
      <c r="E900" s="1132"/>
      <c r="F900" s="1132"/>
      <c r="G900" s="1157">
        <f t="shared" si="41"/>
        <v>25.2</v>
      </c>
      <c r="H900" s="1005"/>
      <c r="I900" s="1005"/>
      <c r="J900" s="1005"/>
      <c r="K900" s="1005"/>
      <c r="L900" s="1005"/>
      <c r="M900" s="1005"/>
    </row>
    <row r="901" spans="1:13" ht="24">
      <c r="A901" s="1154" t="s">
        <v>811</v>
      </c>
      <c r="B901" s="1155">
        <v>6.15</v>
      </c>
      <c r="C901" s="1132">
        <v>5.23</v>
      </c>
      <c r="D901" s="1132">
        <f t="shared" si="40"/>
        <v>32.164500000000004</v>
      </c>
      <c r="E901" s="1156" t="s">
        <v>925</v>
      </c>
      <c r="F901" s="1132">
        <f>0.8*2.1*4</f>
        <v>6.7200000000000006</v>
      </c>
      <c r="G901" s="1157">
        <f t="shared" si="41"/>
        <v>25.444500000000005</v>
      </c>
      <c r="H901" s="1005"/>
      <c r="I901" s="1005"/>
      <c r="J901" s="1005"/>
      <c r="K901" s="1005"/>
      <c r="L901" s="1005"/>
      <c r="M901" s="1005"/>
    </row>
    <row r="902" spans="1:13">
      <c r="A902" s="2334"/>
      <c r="B902" s="2254"/>
      <c r="C902" s="2254"/>
      <c r="D902" s="2254"/>
      <c r="E902" s="2254"/>
      <c r="F902" s="2254"/>
      <c r="G902" s="2255"/>
      <c r="H902" s="1005"/>
      <c r="I902" s="1005"/>
      <c r="J902" s="1005"/>
      <c r="K902" s="1005"/>
      <c r="L902" s="1005"/>
      <c r="M902" s="1005"/>
    </row>
    <row r="903" spans="1:13">
      <c r="A903" s="2271" t="s">
        <v>2160</v>
      </c>
      <c r="B903" s="2274"/>
      <c r="C903" s="2274"/>
      <c r="D903" s="2274"/>
      <c r="E903" s="2274"/>
      <c r="F903" s="2274"/>
      <c r="G903" s="2275"/>
      <c r="H903" s="1005"/>
      <c r="I903" s="1271"/>
      <c r="J903" s="1005"/>
      <c r="K903" s="1005"/>
      <c r="L903" s="1005"/>
      <c r="M903" s="1005"/>
    </row>
    <row r="904" spans="1:13">
      <c r="A904" s="2375"/>
      <c r="B904" s="2376"/>
      <c r="C904" s="2381" t="s">
        <v>772</v>
      </c>
      <c r="D904" s="2382"/>
      <c r="E904" s="2382"/>
      <c r="F904" s="2383"/>
      <c r="G904" s="1096"/>
      <c r="H904" s="1005"/>
      <c r="I904" s="1005"/>
      <c r="J904" s="1005"/>
      <c r="K904" s="1005"/>
      <c r="L904" s="1005"/>
      <c r="M904" s="1005"/>
    </row>
    <row r="905" spans="1:13">
      <c r="A905" s="2377"/>
      <c r="B905" s="2378"/>
      <c r="C905" s="2384" t="s">
        <v>324</v>
      </c>
      <c r="D905" s="2385"/>
      <c r="E905" s="2385"/>
      <c r="F905" s="2386"/>
      <c r="G905" s="1159">
        <f>ROUNDUP(G869+G870+G871+G872+G873+G874+G875+G876,2)</f>
        <v>48.91</v>
      </c>
      <c r="H905" s="1005"/>
      <c r="I905" s="1005"/>
      <c r="J905" s="1005"/>
      <c r="K905" s="1005"/>
      <c r="L905" s="1005"/>
      <c r="M905" s="1005"/>
    </row>
    <row r="906" spans="1:13">
      <c r="A906" s="2377"/>
      <c r="B906" s="2378"/>
      <c r="C906" s="2381" t="s">
        <v>782</v>
      </c>
      <c r="D906" s="2382"/>
      <c r="E906" s="2382"/>
      <c r="F906" s="2383"/>
      <c r="G906" s="1160"/>
      <c r="H906" s="1005"/>
      <c r="I906" s="1005"/>
      <c r="J906" s="1005"/>
      <c r="K906" s="1005"/>
      <c r="L906" s="1005"/>
      <c r="M906" s="1005"/>
    </row>
    <row r="907" spans="1:13">
      <c r="A907" s="2377"/>
      <c r="B907" s="2378"/>
      <c r="C907" s="2384" t="s">
        <v>324</v>
      </c>
      <c r="D907" s="2385"/>
      <c r="E907" s="2385"/>
      <c r="F907" s="2386"/>
      <c r="G907" s="1159">
        <f>ROUNDUP(G879+G880+G881+G882+G883+G884+G885+G886+G887+G888+G889+G890,2)</f>
        <v>205.01</v>
      </c>
      <c r="H907" s="1005"/>
      <c r="I907" s="1005"/>
      <c r="J907" s="1005"/>
      <c r="K907" s="1005"/>
      <c r="L907" s="1005"/>
      <c r="M907" s="1005"/>
    </row>
    <row r="908" spans="1:13">
      <c r="A908" s="2377"/>
      <c r="B908" s="2378"/>
      <c r="C908" s="2381" t="s">
        <v>800</v>
      </c>
      <c r="D908" s="2382"/>
      <c r="E908" s="2382"/>
      <c r="F908" s="2383"/>
      <c r="G908" s="1160"/>
      <c r="H908" s="1005"/>
      <c r="I908" s="1005"/>
      <c r="J908" s="1005"/>
      <c r="K908" s="1005"/>
      <c r="L908" s="1005"/>
      <c r="M908" s="1005"/>
    </row>
    <row r="909" spans="1:13">
      <c r="A909" s="2379"/>
      <c r="B909" s="2380"/>
      <c r="C909" s="2384" t="s">
        <v>324</v>
      </c>
      <c r="D909" s="2385"/>
      <c r="E909" s="2385"/>
      <c r="F909" s="2386"/>
      <c r="G909" s="1159">
        <f>ROUNDUP(G893+G899+G900+G894+G895+G897+G898+G901,2)</f>
        <v>193.92999999999998</v>
      </c>
      <c r="H909" s="1005"/>
      <c r="I909" s="1005"/>
      <c r="J909" s="1005"/>
      <c r="K909" s="1005"/>
      <c r="L909" s="1005"/>
      <c r="M909" s="1005"/>
    </row>
    <row r="910" spans="1:13" ht="15.75" thickBot="1">
      <c r="A910" s="2372" t="s">
        <v>357</v>
      </c>
      <c r="B910" s="2373"/>
      <c r="C910" s="2373"/>
      <c r="D910" s="2373"/>
      <c r="E910" s="2373"/>
      <c r="F910" s="2374"/>
      <c r="G910" s="1180">
        <f>ROUNDUP(G905+G907+G909,2)</f>
        <v>447.85</v>
      </c>
      <c r="H910" s="1005"/>
      <c r="I910" s="1005"/>
      <c r="J910" s="1005"/>
      <c r="K910" s="1005"/>
      <c r="L910" s="1005"/>
      <c r="M910" s="1005"/>
    </row>
    <row r="911" spans="1:13" ht="15.75" thickBot="1">
      <c r="A911" s="1067"/>
      <c r="B911" s="1068"/>
      <c r="C911" s="1068"/>
      <c r="D911" s="1068"/>
      <c r="E911" s="1068"/>
      <c r="F911" s="1068"/>
      <c r="G911" s="1069"/>
      <c r="H911" s="1005"/>
      <c r="I911" s="1005"/>
      <c r="J911" s="1005"/>
      <c r="K911" s="1005"/>
      <c r="L911" s="1005"/>
      <c r="M911" s="1005"/>
    </row>
    <row r="912" spans="1:13" ht="15.75" thickBot="1">
      <c r="A912" s="1019" t="s">
        <v>189</v>
      </c>
      <c r="B912" s="2262" t="s">
        <v>928</v>
      </c>
      <c r="C912" s="2263"/>
      <c r="D912" s="2263"/>
      <c r="E912" s="2263"/>
      <c r="F912" s="2263"/>
      <c r="G912" s="2264"/>
      <c r="H912" s="1005"/>
      <c r="I912" s="1005"/>
      <c r="J912" s="1005"/>
      <c r="K912" s="1005"/>
      <c r="L912" s="1005"/>
      <c r="M912" s="1005"/>
    </row>
    <row r="913" spans="1:13">
      <c r="A913" s="2304" t="s">
        <v>858</v>
      </c>
      <c r="B913" s="2305"/>
      <c r="C913" s="2305"/>
      <c r="D913" s="2305"/>
      <c r="E913" s="2305"/>
      <c r="F913" s="2305"/>
      <c r="G913" s="2306"/>
      <c r="H913" s="1005"/>
      <c r="I913" s="1005"/>
      <c r="J913" s="1005"/>
      <c r="K913" s="1005"/>
      <c r="L913" s="1005"/>
      <c r="M913" s="1005"/>
    </row>
    <row r="914" spans="1:13">
      <c r="A914" s="2268" t="s">
        <v>407</v>
      </c>
      <c r="B914" s="2269"/>
      <c r="C914" s="2269"/>
      <c r="D914" s="2269"/>
      <c r="E914" s="2269"/>
      <c r="F914" s="2269"/>
      <c r="G914" s="2270"/>
      <c r="H914" s="1005"/>
      <c r="I914" s="1005"/>
      <c r="J914" s="1005"/>
      <c r="K914" s="1005"/>
      <c r="L914" s="1005"/>
      <c r="M914" s="1005"/>
    </row>
    <row r="915" spans="1:13">
      <c r="A915" s="2271" t="s">
        <v>408</v>
      </c>
      <c r="B915" s="2272"/>
      <c r="C915" s="1035" t="s">
        <v>339</v>
      </c>
      <c r="D915" s="1035" t="s">
        <v>322</v>
      </c>
      <c r="E915" s="2273" t="s">
        <v>323</v>
      </c>
      <c r="F915" s="2274"/>
      <c r="G915" s="2275"/>
      <c r="H915" s="1005"/>
      <c r="I915" s="1005"/>
      <c r="J915" s="1005"/>
      <c r="K915" s="1005"/>
      <c r="L915" s="1005"/>
      <c r="M915" s="1005"/>
    </row>
    <row r="916" spans="1:13">
      <c r="A916" s="2355" t="s">
        <v>859</v>
      </c>
      <c r="B916" s="2356"/>
      <c r="C916" s="1132">
        <v>24.3</v>
      </c>
      <c r="D916" s="1133">
        <v>34.869999999999997</v>
      </c>
      <c r="E916" s="2310"/>
      <c r="F916" s="2311"/>
      <c r="G916" s="2312"/>
      <c r="H916" s="1005"/>
      <c r="I916" s="1005"/>
      <c r="J916" s="1005"/>
      <c r="K916" s="1005"/>
      <c r="L916" s="1005"/>
      <c r="M916" s="1005"/>
    </row>
    <row r="917" spans="1:13">
      <c r="A917" s="2355" t="s">
        <v>861</v>
      </c>
      <c r="B917" s="2356"/>
      <c r="C917" s="1132">
        <v>35.700000000000003</v>
      </c>
      <c r="D917" s="1133">
        <v>72.37</v>
      </c>
      <c r="E917" s="2366"/>
      <c r="F917" s="2367"/>
      <c r="G917" s="2368"/>
      <c r="H917" s="1005"/>
      <c r="I917" s="1005"/>
      <c r="J917" s="1005"/>
      <c r="K917" s="1005"/>
      <c r="L917" s="1005"/>
      <c r="M917" s="1005"/>
    </row>
    <row r="918" spans="1:13">
      <c r="A918" s="2355" t="s">
        <v>862</v>
      </c>
      <c r="B918" s="2356"/>
      <c r="C918" s="1132">
        <v>13</v>
      </c>
      <c r="D918" s="1133">
        <v>10.55</v>
      </c>
      <c r="E918" s="2366"/>
      <c r="F918" s="2367"/>
      <c r="G918" s="2368"/>
      <c r="H918" s="1005"/>
      <c r="I918" s="1005"/>
      <c r="J918" s="1005"/>
      <c r="K918" s="1005"/>
      <c r="L918" s="1005"/>
      <c r="M918" s="1005"/>
    </row>
    <row r="919" spans="1:13">
      <c r="A919" s="2355" t="s">
        <v>863</v>
      </c>
      <c r="B919" s="2356"/>
      <c r="C919" s="1132">
        <v>16</v>
      </c>
      <c r="D919" s="1133">
        <v>16</v>
      </c>
      <c r="E919" s="2366"/>
      <c r="F919" s="2367"/>
      <c r="G919" s="2368"/>
      <c r="H919" s="1005"/>
      <c r="I919" s="1005"/>
      <c r="J919" s="1005"/>
      <c r="K919" s="1005"/>
      <c r="L919" s="1005"/>
      <c r="M919" s="1005"/>
    </row>
    <row r="920" spans="1:13">
      <c r="A920" s="2355" t="s">
        <v>864</v>
      </c>
      <c r="B920" s="2356"/>
      <c r="C920" s="1132">
        <v>20</v>
      </c>
      <c r="D920" s="1133">
        <v>19.64</v>
      </c>
      <c r="E920" s="2366"/>
      <c r="F920" s="2367"/>
      <c r="G920" s="2368"/>
      <c r="H920" s="1005"/>
      <c r="I920" s="1005"/>
      <c r="J920" s="1005"/>
      <c r="K920" s="1005"/>
      <c r="L920" s="1005"/>
      <c r="M920" s="1005"/>
    </row>
    <row r="921" spans="1:13">
      <c r="A921" s="2355" t="s">
        <v>403</v>
      </c>
      <c r="B921" s="2356"/>
      <c r="C921" s="1132">
        <v>18</v>
      </c>
      <c r="D921" s="1133">
        <v>20</v>
      </c>
      <c r="E921" s="2366"/>
      <c r="F921" s="2367"/>
      <c r="G921" s="2368"/>
      <c r="H921" s="1005"/>
      <c r="I921" s="1005"/>
      <c r="J921" s="1005"/>
      <c r="K921" s="1005"/>
      <c r="L921" s="1005"/>
      <c r="M921" s="1005"/>
    </row>
    <row r="922" spans="1:13">
      <c r="A922" s="2355" t="s">
        <v>865</v>
      </c>
      <c r="B922" s="2356"/>
      <c r="C922" s="1132">
        <v>11.7</v>
      </c>
      <c r="D922" s="1133">
        <v>7.7</v>
      </c>
      <c r="E922" s="2366"/>
      <c r="F922" s="2367"/>
      <c r="G922" s="2368"/>
      <c r="H922" s="1005"/>
      <c r="I922" s="1005"/>
      <c r="J922" s="1005"/>
      <c r="K922" s="1005"/>
      <c r="L922" s="1005"/>
      <c r="M922" s="1005"/>
    </row>
    <row r="923" spans="1:13">
      <c r="A923" s="2355" t="s">
        <v>866</v>
      </c>
      <c r="B923" s="2356"/>
      <c r="C923" s="1132">
        <v>7.4</v>
      </c>
      <c r="D923" s="1133">
        <v>3.18</v>
      </c>
      <c r="E923" s="2366"/>
      <c r="F923" s="2367"/>
      <c r="G923" s="2368"/>
      <c r="H923" s="1005"/>
      <c r="I923" s="1005"/>
      <c r="J923" s="1005"/>
      <c r="K923" s="1005"/>
      <c r="L923" s="1005"/>
      <c r="M923" s="1005"/>
    </row>
    <row r="924" spans="1:13">
      <c r="A924" s="2355" t="s">
        <v>867</v>
      </c>
      <c r="B924" s="2356"/>
      <c r="C924" s="1132">
        <v>13.39</v>
      </c>
      <c r="D924" s="1133">
        <v>7.68</v>
      </c>
      <c r="E924" s="2366"/>
      <c r="F924" s="2367"/>
      <c r="G924" s="2368"/>
      <c r="H924" s="1005"/>
      <c r="I924" s="1005"/>
      <c r="J924" s="1005"/>
      <c r="K924" s="1005"/>
      <c r="L924" s="1005"/>
      <c r="M924" s="1005"/>
    </row>
    <row r="925" spans="1:13">
      <c r="A925" s="2355" t="s">
        <v>868</v>
      </c>
      <c r="B925" s="2356"/>
      <c r="C925" s="1132">
        <v>3.05</v>
      </c>
      <c r="D925" s="1133">
        <v>2.78</v>
      </c>
      <c r="E925" s="2366"/>
      <c r="F925" s="2367"/>
      <c r="G925" s="2368"/>
      <c r="H925" s="1005"/>
      <c r="I925" s="1005"/>
      <c r="J925" s="1005"/>
      <c r="K925" s="1005"/>
      <c r="L925" s="1005"/>
      <c r="M925" s="1005"/>
    </row>
    <row r="926" spans="1:13">
      <c r="A926" s="2355" t="s">
        <v>869</v>
      </c>
      <c r="B926" s="2356"/>
      <c r="C926" s="1132">
        <v>3.05</v>
      </c>
      <c r="D926" s="1133">
        <v>7.68</v>
      </c>
      <c r="E926" s="2366"/>
      <c r="F926" s="2367"/>
      <c r="G926" s="2368"/>
      <c r="H926" s="1005"/>
      <c r="I926" s="1005"/>
      <c r="J926" s="1005"/>
      <c r="K926" s="1005"/>
      <c r="L926" s="1005"/>
      <c r="M926" s="1005"/>
    </row>
    <row r="927" spans="1:13">
      <c r="A927" s="2355" t="s">
        <v>870</v>
      </c>
      <c r="B927" s="2356"/>
      <c r="C927" s="1132">
        <v>13.39</v>
      </c>
      <c r="D927" s="1133">
        <v>2.78</v>
      </c>
      <c r="E927" s="2366"/>
      <c r="F927" s="2367"/>
      <c r="G927" s="2368"/>
      <c r="H927" s="1005"/>
      <c r="I927" s="1005"/>
      <c r="J927" s="1005"/>
      <c r="K927" s="1005"/>
      <c r="L927" s="1005"/>
      <c r="M927" s="1005"/>
    </row>
    <row r="928" spans="1:13">
      <c r="A928" s="2355" t="s">
        <v>745</v>
      </c>
      <c r="B928" s="2356"/>
      <c r="C928" s="1132">
        <v>36.450000000000003</v>
      </c>
      <c r="D928" s="1133">
        <v>33.979999999999997</v>
      </c>
      <c r="E928" s="2366"/>
      <c r="F928" s="2367"/>
      <c r="G928" s="2368"/>
      <c r="H928" s="1005"/>
      <c r="I928" s="1005"/>
      <c r="J928" s="1005"/>
      <c r="K928" s="1005"/>
      <c r="L928" s="1005"/>
      <c r="M928" s="1005"/>
    </row>
    <row r="929" spans="1:13">
      <c r="A929" s="2251" t="s">
        <v>929</v>
      </c>
      <c r="B929" s="2252"/>
      <c r="C929" s="1132">
        <v>13.3</v>
      </c>
      <c r="D929" s="1133">
        <v>10.61</v>
      </c>
      <c r="E929" s="2366"/>
      <c r="F929" s="2367"/>
      <c r="G929" s="2368"/>
      <c r="H929" s="1005"/>
      <c r="I929" s="1005"/>
      <c r="J929" s="1005"/>
      <c r="K929" s="1005"/>
      <c r="L929" s="1005"/>
      <c r="M929" s="1005"/>
    </row>
    <row r="930" spans="1:13">
      <c r="A930" s="2355" t="s">
        <v>930</v>
      </c>
      <c r="B930" s="2356"/>
      <c r="C930" s="1132">
        <f>36.45+0.8+0.8</f>
        <v>38.049999999999997</v>
      </c>
      <c r="D930" s="1133">
        <f>38.05*0.2</f>
        <v>7.6099999999999994</v>
      </c>
      <c r="E930" s="2366"/>
      <c r="F930" s="2367"/>
      <c r="G930" s="2368"/>
      <c r="H930" s="1005"/>
      <c r="I930" s="1005"/>
      <c r="J930" s="1005"/>
      <c r="K930" s="1005"/>
      <c r="L930" s="1005"/>
      <c r="M930" s="1005"/>
    </row>
    <row r="931" spans="1:13" ht="15.75" thickBot="1">
      <c r="A931" s="1134"/>
      <c r="B931" s="1135"/>
      <c r="C931" s="1136" t="s">
        <v>324</v>
      </c>
      <c r="D931" s="1137">
        <f>SUM(D916:D930)</f>
        <v>257.43</v>
      </c>
      <c r="E931" s="2369"/>
      <c r="F931" s="2370"/>
      <c r="G931" s="2371"/>
      <c r="H931" s="1005"/>
      <c r="I931" s="1005"/>
      <c r="J931" s="1005"/>
      <c r="K931" s="1005"/>
      <c r="L931" s="1005"/>
      <c r="M931" s="1005"/>
    </row>
    <row r="932" spans="1:13" ht="15.75" thickBot="1">
      <c r="A932" s="1067"/>
      <c r="B932" s="1068"/>
      <c r="C932" s="1068"/>
      <c r="D932" s="1068"/>
      <c r="E932" s="1068"/>
      <c r="F932" s="1068"/>
      <c r="G932" s="1069"/>
      <c r="H932" s="1005"/>
      <c r="I932" s="1005"/>
      <c r="J932" s="1005"/>
      <c r="K932" s="1005"/>
      <c r="L932" s="1005"/>
      <c r="M932" s="1005"/>
    </row>
    <row r="933" spans="1:13" ht="15.75" thickBot="1">
      <c r="A933" s="1019" t="s">
        <v>628</v>
      </c>
      <c r="B933" s="2262" t="s">
        <v>931</v>
      </c>
      <c r="C933" s="2263"/>
      <c r="D933" s="2263"/>
      <c r="E933" s="2263"/>
      <c r="F933" s="2263"/>
      <c r="G933" s="2264"/>
      <c r="H933" s="1005"/>
      <c r="I933" s="1005"/>
      <c r="J933" s="1005"/>
      <c r="K933" s="1005"/>
      <c r="L933" s="1005"/>
      <c r="M933" s="1005"/>
    </row>
    <row r="934" spans="1:13">
      <c r="A934" s="2304" t="s">
        <v>858</v>
      </c>
      <c r="B934" s="2305"/>
      <c r="C934" s="2305"/>
      <c r="D934" s="2305"/>
      <c r="E934" s="2305"/>
      <c r="F934" s="2305"/>
      <c r="G934" s="2306"/>
      <c r="H934" s="1005"/>
      <c r="I934" s="1005"/>
      <c r="J934" s="1005"/>
      <c r="K934" s="1005"/>
      <c r="L934" s="1005"/>
      <c r="M934" s="1005"/>
    </row>
    <row r="935" spans="1:13">
      <c r="A935" s="2268" t="s">
        <v>407</v>
      </c>
      <c r="B935" s="2269"/>
      <c r="C935" s="2269"/>
      <c r="D935" s="2269"/>
      <c r="E935" s="2269"/>
      <c r="F935" s="2269"/>
      <c r="G935" s="2270"/>
      <c r="H935" s="1005"/>
      <c r="I935" s="1005"/>
      <c r="J935" s="1005"/>
      <c r="K935" s="1005"/>
      <c r="L935" s="1005"/>
      <c r="M935" s="1005"/>
    </row>
    <row r="936" spans="1:13">
      <c r="A936" s="2271" t="s">
        <v>408</v>
      </c>
      <c r="B936" s="2272"/>
      <c r="C936" s="1035" t="s">
        <v>339</v>
      </c>
      <c r="D936" s="1035" t="s">
        <v>322</v>
      </c>
      <c r="E936" s="2273" t="s">
        <v>323</v>
      </c>
      <c r="F936" s="2274"/>
      <c r="G936" s="2275"/>
      <c r="H936" s="1005"/>
      <c r="I936" s="1005"/>
      <c r="J936" s="1005"/>
      <c r="K936" s="1005"/>
      <c r="L936" s="1005"/>
      <c r="M936" s="1005"/>
    </row>
    <row r="937" spans="1:13">
      <c r="A937" s="2355" t="s">
        <v>859</v>
      </c>
      <c r="B937" s="2356"/>
      <c r="C937" s="1132">
        <v>24.3</v>
      </c>
      <c r="D937" s="1133">
        <v>34.869999999999997</v>
      </c>
      <c r="E937" s="2310"/>
      <c r="F937" s="2311"/>
      <c r="G937" s="2312"/>
      <c r="H937" s="1005"/>
      <c r="I937" s="1203"/>
      <c r="J937" s="1005"/>
      <c r="K937" s="1005"/>
      <c r="L937" s="1005"/>
      <c r="M937" s="1005"/>
    </row>
    <row r="938" spans="1:13">
      <c r="A938" s="2355" t="s">
        <v>861</v>
      </c>
      <c r="B938" s="2356"/>
      <c r="C938" s="1132">
        <v>35.700000000000003</v>
      </c>
      <c r="D938" s="1133">
        <v>72.37</v>
      </c>
      <c r="E938" s="2366"/>
      <c r="F938" s="2367"/>
      <c r="G938" s="2368"/>
      <c r="H938" s="1005"/>
      <c r="I938" s="1203"/>
      <c r="J938" s="1005"/>
      <c r="K938" s="1005"/>
      <c r="L938" s="1005"/>
      <c r="M938" s="1005"/>
    </row>
    <row r="939" spans="1:13">
      <c r="A939" s="2355" t="s">
        <v>862</v>
      </c>
      <c r="B939" s="2356"/>
      <c r="C939" s="1132">
        <v>13</v>
      </c>
      <c r="D939" s="1133">
        <v>10.55</v>
      </c>
      <c r="E939" s="2366"/>
      <c r="F939" s="2367"/>
      <c r="G939" s="2368"/>
      <c r="H939" s="1005"/>
      <c r="I939" s="1203"/>
      <c r="J939" s="1005"/>
      <c r="K939" s="1005"/>
      <c r="L939" s="1005"/>
      <c r="M939" s="1005"/>
    </row>
    <row r="940" spans="1:13">
      <c r="A940" s="2355" t="s">
        <v>863</v>
      </c>
      <c r="B940" s="2356"/>
      <c r="C940" s="1132">
        <v>16</v>
      </c>
      <c r="D940" s="1133">
        <v>16</v>
      </c>
      <c r="E940" s="2366"/>
      <c r="F940" s="2367"/>
      <c r="G940" s="2368"/>
      <c r="H940" s="1005"/>
      <c r="I940" s="1203"/>
      <c r="J940" s="1005"/>
      <c r="K940" s="1005"/>
      <c r="L940" s="1005"/>
      <c r="M940" s="1005"/>
    </row>
    <row r="941" spans="1:13">
      <c r="A941" s="2355" t="s">
        <v>864</v>
      </c>
      <c r="B941" s="2356"/>
      <c r="C941" s="1132">
        <v>20</v>
      </c>
      <c r="D941" s="1133">
        <v>19.64</v>
      </c>
      <c r="E941" s="2366"/>
      <c r="F941" s="2367"/>
      <c r="G941" s="2368"/>
      <c r="H941" s="1005"/>
      <c r="I941" s="1203"/>
      <c r="J941" s="1005"/>
      <c r="K941" s="1005"/>
      <c r="L941" s="1005"/>
      <c r="M941" s="1005"/>
    </row>
    <row r="942" spans="1:13">
      <c r="A942" s="2355" t="s">
        <v>403</v>
      </c>
      <c r="B942" s="2356"/>
      <c r="C942" s="1132">
        <v>18</v>
      </c>
      <c r="D942" s="1133">
        <v>20</v>
      </c>
      <c r="E942" s="2366"/>
      <c r="F942" s="2367"/>
      <c r="G942" s="2368"/>
      <c r="H942" s="1005"/>
      <c r="I942" s="1203"/>
      <c r="J942" s="1005"/>
      <c r="K942" s="1005"/>
      <c r="L942" s="1005"/>
      <c r="M942" s="1005"/>
    </row>
    <row r="943" spans="1:13">
      <c r="A943" s="2355" t="s">
        <v>865</v>
      </c>
      <c r="B943" s="2356"/>
      <c r="C943" s="1132">
        <v>11.7</v>
      </c>
      <c r="D943" s="1133">
        <v>7.7</v>
      </c>
      <c r="E943" s="2366"/>
      <c r="F943" s="2367"/>
      <c r="G943" s="2368"/>
      <c r="H943" s="1005"/>
      <c r="I943" s="1203"/>
      <c r="J943" s="1005"/>
      <c r="K943" s="1005"/>
      <c r="L943" s="1005"/>
      <c r="M943" s="1005"/>
    </row>
    <row r="944" spans="1:13">
      <c r="A944" s="2355" t="s">
        <v>866</v>
      </c>
      <c r="B944" s="2356"/>
      <c r="C944" s="1132">
        <v>7.4</v>
      </c>
      <c r="D944" s="1133">
        <v>3.18</v>
      </c>
      <c r="E944" s="2366"/>
      <c r="F944" s="2367"/>
      <c r="G944" s="2368"/>
      <c r="H944" s="1005"/>
      <c r="I944" s="1203"/>
      <c r="J944" s="1005"/>
      <c r="K944" s="1005"/>
      <c r="L944" s="1005"/>
      <c r="M944" s="1005"/>
    </row>
    <row r="945" spans="1:13">
      <c r="A945" s="2355" t="s">
        <v>867</v>
      </c>
      <c r="B945" s="2356"/>
      <c r="C945" s="1132">
        <v>13.39</v>
      </c>
      <c r="D945" s="1133">
        <v>7.68</v>
      </c>
      <c r="E945" s="2366"/>
      <c r="F945" s="2367"/>
      <c r="G945" s="2368"/>
      <c r="H945" s="1005"/>
      <c r="I945" s="1203"/>
      <c r="J945" s="1005"/>
      <c r="K945" s="1005"/>
      <c r="L945" s="1005"/>
      <c r="M945" s="1005"/>
    </row>
    <row r="946" spans="1:13">
      <c r="A946" s="2355" t="s">
        <v>868</v>
      </c>
      <c r="B946" s="2356"/>
      <c r="C946" s="1132">
        <v>3.05</v>
      </c>
      <c r="D946" s="1133">
        <v>2.78</v>
      </c>
      <c r="E946" s="2366"/>
      <c r="F946" s="2367"/>
      <c r="G946" s="2368"/>
      <c r="H946" s="1005"/>
      <c r="I946" s="1203"/>
      <c r="J946" s="1005"/>
      <c r="K946" s="1005"/>
      <c r="L946" s="1005"/>
      <c r="M946" s="1005"/>
    </row>
    <row r="947" spans="1:13">
      <c r="A947" s="2355" t="s">
        <v>869</v>
      </c>
      <c r="B947" s="2356"/>
      <c r="C947" s="1132">
        <v>3.05</v>
      </c>
      <c r="D947" s="1133">
        <v>7.68</v>
      </c>
      <c r="E947" s="2366"/>
      <c r="F947" s="2367"/>
      <c r="G947" s="2368"/>
      <c r="H947" s="1005"/>
      <c r="I947" s="1203"/>
      <c r="J947" s="1005"/>
      <c r="K947" s="1005"/>
      <c r="L947" s="1005"/>
      <c r="M947" s="1005"/>
    </row>
    <row r="948" spans="1:13">
      <c r="A948" s="2355" t="s">
        <v>870</v>
      </c>
      <c r="B948" s="2356"/>
      <c r="C948" s="1132">
        <v>13.39</v>
      </c>
      <c r="D948" s="1133">
        <v>2.78</v>
      </c>
      <c r="E948" s="2366"/>
      <c r="F948" s="2367"/>
      <c r="G948" s="2368"/>
      <c r="H948" s="1005"/>
      <c r="I948" s="1203"/>
      <c r="J948" s="1005"/>
      <c r="K948" s="1005"/>
      <c r="L948" s="1005"/>
      <c r="M948" s="1005"/>
    </row>
    <row r="949" spans="1:13">
      <c r="A949" s="2251" t="s">
        <v>929</v>
      </c>
      <c r="B949" s="2252"/>
      <c r="C949" s="1132">
        <v>13.3</v>
      </c>
      <c r="D949" s="1133">
        <v>10.61</v>
      </c>
      <c r="E949" s="2366"/>
      <c r="F949" s="2367"/>
      <c r="G949" s="2368"/>
      <c r="H949" s="1005"/>
      <c r="I949" s="1203"/>
      <c r="J949" s="1005"/>
      <c r="K949" s="1005"/>
      <c r="L949" s="1005"/>
      <c r="M949" s="1005"/>
    </row>
    <row r="950" spans="1:13" ht="15.75" thickBot="1">
      <c r="A950" s="1134"/>
      <c r="B950" s="1135"/>
      <c r="C950" s="1136" t="s">
        <v>324</v>
      </c>
      <c r="D950" s="1137">
        <f>SUM(D937:D949)</f>
        <v>215.84000000000003</v>
      </c>
      <c r="E950" s="2369"/>
      <c r="F950" s="2370"/>
      <c r="G950" s="2371"/>
      <c r="H950" s="1005"/>
      <c r="I950" s="1203">
        <f>D931-D930-D928</f>
        <v>215.84</v>
      </c>
      <c r="J950" s="1005" t="s">
        <v>2164</v>
      </c>
      <c r="K950" s="1005"/>
      <c r="L950" s="1005"/>
      <c r="M950" s="1005"/>
    </row>
    <row r="951" spans="1:13" ht="15.75" thickBot="1">
      <c r="A951" s="1067"/>
      <c r="B951" s="1068"/>
      <c r="C951" s="1068"/>
      <c r="D951" s="1068"/>
      <c r="E951" s="1068"/>
      <c r="F951" s="1068"/>
      <c r="G951" s="1069"/>
      <c r="H951" s="1005"/>
      <c r="I951" s="1203"/>
      <c r="J951" s="1005"/>
      <c r="K951" s="1005"/>
      <c r="L951" s="1005"/>
      <c r="M951" s="1005"/>
    </row>
    <row r="952" spans="1:13" ht="15.75" thickBot="1">
      <c r="A952" s="1019" t="s">
        <v>629</v>
      </c>
      <c r="B952" s="2262" t="s">
        <v>932</v>
      </c>
      <c r="C952" s="2263"/>
      <c r="D952" s="2263"/>
      <c r="E952" s="2263"/>
      <c r="F952" s="2263"/>
      <c r="G952" s="2264"/>
      <c r="H952" s="1005"/>
      <c r="I952" s="1005"/>
      <c r="J952" s="1005"/>
      <c r="K952" s="1005"/>
      <c r="L952" s="1005"/>
      <c r="M952" s="1005"/>
    </row>
    <row r="953" spans="1:13">
      <c r="A953" s="2304" t="s">
        <v>858</v>
      </c>
      <c r="B953" s="2305"/>
      <c r="C953" s="2305"/>
      <c r="D953" s="2305"/>
      <c r="E953" s="2305"/>
      <c r="F953" s="2305"/>
      <c r="G953" s="2306"/>
      <c r="H953" s="1005"/>
      <c r="I953" s="1005"/>
      <c r="J953" s="1005"/>
      <c r="K953" s="1005"/>
      <c r="L953" s="1005"/>
      <c r="M953" s="1005"/>
    </row>
    <row r="954" spans="1:13">
      <c r="A954" s="2268" t="s">
        <v>407</v>
      </c>
      <c r="B954" s="2269"/>
      <c r="C954" s="2269"/>
      <c r="D954" s="2269"/>
      <c r="E954" s="2269"/>
      <c r="F954" s="2269"/>
      <c r="G954" s="2270"/>
      <c r="H954" s="1005"/>
      <c r="I954" s="1005"/>
      <c r="J954" s="1005"/>
      <c r="K954" s="1005"/>
      <c r="L954" s="1005"/>
      <c r="M954" s="1005"/>
    </row>
    <row r="955" spans="1:13">
      <c r="A955" s="2271" t="s">
        <v>408</v>
      </c>
      <c r="B955" s="2272"/>
      <c r="C955" s="1035" t="s">
        <v>339</v>
      </c>
      <c r="D955" s="1035" t="s">
        <v>322</v>
      </c>
      <c r="E955" s="2273" t="s">
        <v>323</v>
      </c>
      <c r="F955" s="2274"/>
      <c r="G955" s="2275"/>
      <c r="H955" s="1005"/>
      <c r="I955" s="1005"/>
      <c r="J955" s="1005"/>
      <c r="K955" s="1005"/>
      <c r="L955" s="1005"/>
      <c r="M955" s="1005"/>
    </row>
    <row r="956" spans="1:13">
      <c r="A956" s="2355" t="s">
        <v>859</v>
      </c>
      <c r="B956" s="2356"/>
      <c r="C956" s="1132">
        <v>24.3</v>
      </c>
      <c r="D956" s="1133">
        <v>34.869999999999997</v>
      </c>
      <c r="E956" s="2310"/>
      <c r="F956" s="2311"/>
      <c r="G956" s="2312"/>
      <c r="H956" s="1005"/>
      <c r="I956" s="1005"/>
      <c r="J956" s="1005"/>
      <c r="K956" s="1005"/>
      <c r="L956" s="1005"/>
      <c r="M956" s="1005"/>
    </row>
    <row r="957" spans="1:13">
      <c r="A957" s="2355" t="s">
        <v>861</v>
      </c>
      <c r="B957" s="2356"/>
      <c r="C957" s="1132">
        <v>35.700000000000003</v>
      </c>
      <c r="D957" s="1133">
        <v>72.37</v>
      </c>
      <c r="E957" s="2366"/>
      <c r="F957" s="2367"/>
      <c r="G957" s="2368"/>
      <c r="H957" s="1005"/>
      <c r="I957" s="1005"/>
      <c r="J957" s="1005"/>
      <c r="K957" s="1005"/>
      <c r="L957" s="1005"/>
      <c r="M957" s="1005"/>
    </row>
    <row r="958" spans="1:13">
      <c r="A958" s="2355" t="s">
        <v>862</v>
      </c>
      <c r="B958" s="2356"/>
      <c r="C958" s="1132">
        <v>13</v>
      </c>
      <c r="D958" s="1133">
        <v>10.55</v>
      </c>
      <c r="E958" s="2366"/>
      <c r="F958" s="2367"/>
      <c r="G958" s="2368"/>
      <c r="H958" s="1005"/>
      <c r="I958" s="1005"/>
      <c r="J958" s="1005"/>
      <c r="K958" s="1005"/>
      <c r="L958" s="1005"/>
      <c r="M958" s="1005"/>
    </row>
    <row r="959" spans="1:13">
      <c r="A959" s="2355" t="s">
        <v>863</v>
      </c>
      <c r="B959" s="2356"/>
      <c r="C959" s="1132">
        <v>16</v>
      </c>
      <c r="D959" s="1133">
        <v>16</v>
      </c>
      <c r="E959" s="2366"/>
      <c r="F959" s="2367"/>
      <c r="G959" s="2368"/>
      <c r="H959" s="1005"/>
      <c r="I959" s="1005"/>
      <c r="J959" s="1005"/>
      <c r="K959" s="1005"/>
      <c r="L959" s="1005"/>
      <c r="M959" s="1005"/>
    </row>
    <row r="960" spans="1:13">
      <c r="A960" s="2355" t="s">
        <v>864</v>
      </c>
      <c r="B960" s="2356"/>
      <c r="C960" s="1132">
        <v>20</v>
      </c>
      <c r="D960" s="1133">
        <v>19.64</v>
      </c>
      <c r="E960" s="2366"/>
      <c r="F960" s="2367"/>
      <c r="G960" s="2368"/>
      <c r="H960" s="1005"/>
      <c r="I960" s="1005"/>
      <c r="J960" s="1005"/>
      <c r="K960" s="1005"/>
      <c r="L960" s="1005"/>
      <c r="M960" s="1005"/>
    </row>
    <row r="961" spans="1:13">
      <c r="A961" s="2355" t="s">
        <v>403</v>
      </c>
      <c r="B961" s="2356"/>
      <c r="C961" s="1132">
        <v>18</v>
      </c>
      <c r="D961" s="1133">
        <v>20</v>
      </c>
      <c r="E961" s="2366"/>
      <c r="F961" s="2367"/>
      <c r="G961" s="2368"/>
      <c r="H961" s="1005"/>
      <c r="I961" s="1005"/>
      <c r="J961" s="1005"/>
      <c r="K961" s="1005"/>
      <c r="L961" s="1005"/>
      <c r="M961" s="1005"/>
    </row>
    <row r="962" spans="1:13">
      <c r="A962" s="2355" t="s">
        <v>865</v>
      </c>
      <c r="B962" s="2356"/>
      <c r="C962" s="1132">
        <v>11.7</v>
      </c>
      <c r="D962" s="1133">
        <v>7.7</v>
      </c>
      <c r="E962" s="2366"/>
      <c r="F962" s="2367"/>
      <c r="G962" s="2368"/>
      <c r="H962" s="1005"/>
      <c r="I962" s="1005"/>
      <c r="J962" s="1005"/>
      <c r="K962" s="1005"/>
      <c r="L962" s="1005"/>
      <c r="M962" s="1005"/>
    </row>
    <row r="963" spans="1:13">
      <c r="A963" s="2355" t="s">
        <v>866</v>
      </c>
      <c r="B963" s="2356"/>
      <c r="C963" s="1132">
        <v>7.4</v>
      </c>
      <c r="D963" s="1133">
        <v>3.18</v>
      </c>
      <c r="E963" s="2366"/>
      <c r="F963" s="2367"/>
      <c r="G963" s="2368"/>
      <c r="H963" s="1005"/>
      <c r="I963" s="1005"/>
      <c r="J963" s="1005"/>
      <c r="K963" s="1005"/>
      <c r="L963" s="1005"/>
      <c r="M963" s="1005"/>
    </row>
    <row r="964" spans="1:13">
      <c r="A964" s="2355" t="s">
        <v>867</v>
      </c>
      <c r="B964" s="2356"/>
      <c r="C964" s="1132">
        <v>13.39</v>
      </c>
      <c r="D964" s="1133">
        <v>7.68</v>
      </c>
      <c r="E964" s="2366"/>
      <c r="F964" s="2367"/>
      <c r="G964" s="2368"/>
      <c r="H964" s="1005"/>
      <c r="I964" s="1005"/>
      <c r="J964" s="1005"/>
      <c r="K964" s="1005"/>
      <c r="L964" s="1005"/>
      <c r="M964" s="1005"/>
    </row>
    <row r="965" spans="1:13">
      <c r="A965" s="2355" t="s">
        <v>868</v>
      </c>
      <c r="B965" s="2356"/>
      <c r="C965" s="1132">
        <v>3.05</v>
      </c>
      <c r="D965" s="1133">
        <v>2.78</v>
      </c>
      <c r="E965" s="2366"/>
      <c r="F965" s="2367"/>
      <c r="G965" s="2368"/>
      <c r="H965" s="1005"/>
      <c r="I965" s="1005"/>
      <c r="J965" s="1005"/>
      <c r="K965" s="1005"/>
      <c r="L965" s="1005"/>
      <c r="M965" s="1005"/>
    </row>
    <row r="966" spans="1:13">
      <c r="A966" s="2355" t="s">
        <v>869</v>
      </c>
      <c r="B966" s="2356"/>
      <c r="C966" s="1132">
        <v>3.05</v>
      </c>
      <c r="D966" s="1133">
        <v>7.68</v>
      </c>
      <c r="E966" s="2366"/>
      <c r="F966" s="2367"/>
      <c r="G966" s="2368"/>
      <c r="H966" s="1005"/>
      <c r="I966" s="1005"/>
      <c r="J966" s="1005"/>
      <c r="K966" s="1005"/>
      <c r="L966" s="1005"/>
      <c r="M966" s="1005"/>
    </row>
    <row r="967" spans="1:13">
      <c r="A967" s="2355" t="s">
        <v>870</v>
      </c>
      <c r="B967" s="2356"/>
      <c r="C967" s="1132">
        <v>13.39</v>
      </c>
      <c r="D967" s="1133">
        <v>2.78</v>
      </c>
      <c r="E967" s="2366"/>
      <c r="F967" s="2367"/>
      <c r="G967" s="2368"/>
      <c r="H967" s="1005"/>
      <c r="I967" s="1005"/>
      <c r="J967" s="1005"/>
      <c r="K967" s="1005"/>
      <c r="L967" s="1005"/>
      <c r="M967" s="1005"/>
    </row>
    <row r="968" spans="1:13">
      <c r="A968" s="2251" t="s">
        <v>929</v>
      </c>
      <c r="B968" s="2252"/>
      <c r="C968" s="1132">
        <v>13.3</v>
      </c>
      <c r="D968" s="1133">
        <v>10.61</v>
      </c>
      <c r="E968" s="2366"/>
      <c r="F968" s="2367"/>
      <c r="G968" s="2368"/>
      <c r="H968" s="1005"/>
      <c r="I968" s="1005"/>
      <c r="J968" s="1005"/>
      <c r="K968" s="1005"/>
      <c r="L968" s="1005"/>
      <c r="M968" s="1005"/>
    </row>
    <row r="969" spans="1:13" ht="15.75" thickBot="1">
      <c r="A969" s="1134"/>
      <c r="B969" s="1135"/>
      <c r="C969" s="1136" t="s">
        <v>324</v>
      </c>
      <c r="D969" s="1137">
        <f>SUM(D956:D968)</f>
        <v>215.84000000000003</v>
      </c>
      <c r="E969" s="2369"/>
      <c r="F969" s="2370"/>
      <c r="G969" s="2371"/>
      <c r="H969" s="1005"/>
      <c r="I969" s="1005"/>
      <c r="J969" s="1005"/>
      <c r="K969" s="1005"/>
      <c r="L969" s="1005"/>
      <c r="M969" s="1005"/>
    </row>
    <row r="970" spans="1:13" ht="15.75" thickBot="1">
      <c r="A970" s="1067"/>
      <c r="B970" s="1068"/>
      <c r="C970" s="1068"/>
      <c r="D970" s="1068"/>
      <c r="E970" s="1068"/>
      <c r="F970" s="1068"/>
      <c r="G970" s="1069"/>
      <c r="H970" s="1005"/>
      <c r="I970" s="1005"/>
      <c r="J970" s="1005"/>
      <c r="K970" s="1005"/>
      <c r="L970" s="1005"/>
      <c r="M970" s="1005"/>
    </row>
    <row r="971" spans="1:13" ht="15.75" thickBot="1">
      <c r="A971" s="1019" t="s">
        <v>630</v>
      </c>
      <c r="B971" s="2262" t="s">
        <v>933</v>
      </c>
      <c r="C971" s="2263"/>
      <c r="D971" s="2263"/>
      <c r="E971" s="2263"/>
      <c r="F971" s="2263"/>
      <c r="G971" s="2264"/>
      <c r="H971" s="1005"/>
      <c r="I971" s="1005"/>
      <c r="J971" s="1005"/>
      <c r="K971" s="1005"/>
      <c r="L971" s="1005"/>
      <c r="M971" s="1005"/>
    </row>
    <row r="972" spans="1:13">
      <c r="A972" s="2304" t="s">
        <v>320</v>
      </c>
      <c r="B972" s="2305"/>
      <c r="C972" s="2305"/>
      <c r="D972" s="2305"/>
      <c r="E972" s="2305"/>
      <c r="F972" s="2305"/>
      <c r="G972" s="2306"/>
      <c r="H972" s="1005"/>
      <c r="I972" s="1005"/>
      <c r="J972" s="1005"/>
      <c r="K972" s="1005"/>
      <c r="L972" s="1005"/>
      <c r="M972" s="1005"/>
    </row>
    <row r="973" spans="1:13">
      <c r="A973" s="2268" t="s">
        <v>402</v>
      </c>
      <c r="B973" s="2269"/>
      <c r="C973" s="2269"/>
      <c r="D973" s="2269"/>
      <c r="E973" s="2269"/>
      <c r="F973" s="2269"/>
      <c r="G973" s="2270"/>
      <c r="H973" s="1005"/>
      <c r="I973" s="1005"/>
      <c r="J973" s="1005"/>
      <c r="K973" s="1005"/>
      <c r="L973" s="1005"/>
      <c r="M973" s="1005"/>
    </row>
    <row r="974" spans="1:13">
      <c r="A974" s="1034" t="s">
        <v>339</v>
      </c>
      <c r="B974" s="1035" t="s">
        <v>339</v>
      </c>
      <c r="C974" s="1035" t="s">
        <v>349</v>
      </c>
      <c r="D974" s="1035" t="s">
        <v>350</v>
      </c>
      <c r="E974" s="1035" t="s">
        <v>351</v>
      </c>
      <c r="F974" s="1035" t="s">
        <v>352</v>
      </c>
      <c r="G974" s="1093" t="s">
        <v>353</v>
      </c>
      <c r="H974" s="1005"/>
      <c r="I974" s="1005"/>
      <c r="J974" s="1005"/>
      <c r="K974" s="1005"/>
      <c r="L974" s="1005"/>
      <c r="M974" s="1005"/>
    </row>
    <row r="975" spans="1:13">
      <c r="A975" s="2387" t="s">
        <v>772</v>
      </c>
      <c r="B975" s="2388"/>
      <c r="C975" s="2388"/>
      <c r="D975" s="2388"/>
      <c r="E975" s="2388"/>
      <c r="F975" s="2388"/>
      <c r="G975" s="2389"/>
      <c r="H975" s="1005"/>
      <c r="I975" s="1005"/>
      <c r="J975" s="1005"/>
      <c r="K975" s="1005"/>
      <c r="L975" s="1005"/>
      <c r="M975" s="1005"/>
    </row>
    <row r="976" spans="1:13" ht="24">
      <c r="A976" s="1049" t="s">
        <v>834</v>
      </c>
      <c r="B976" s="1071">
        <f>4.75+9.5+4.75</f>
        <v>19</v>
      </c>
      <c r="C976" s="1071">
        <v>0.15</v>
      </c>
      <c r="D976" s="1071">
        <f t="shared" ref="D976:D981" si="42">C976*B976</f>
        <v>2.85</v>
      </c>
      <c r="E976" s="1071"/>
      <c r="F976" s="1071"/>
      <c r="G976" s="1096">
        <f t="shared" ref="G976:G981" si="43">D976-F976</f>
        <v>2.85</v>
      </c>
      <c r="H976" s="1005"/>
      <c r="I976" s="1005"/>
      <c r="J976" s="1005"/>
      <c r="K976" s="1005"/>
      <c r="L976" s="1005"/>
      <c r="M976" s="1005"/>
    </row>
    <row r="977" spans="1:13" ht="36">
      <c r="A977" s="1049" t="s">
        <v>835</v>
      </c>
      <c r="B977" s="1071">
        <f>4.15+4+1.6+3.08+4.5+1.65+5.15+4</f>
        <v>28.129999999999995</v>
      </c>
      <c r="C977" s="1071">
        <v>0.15</v>
      </c>
      <c r="D977" s="1071">
        <f t="shared" si="42"/>
        <v>4.2194999999999991</v>
      </c>
      <c r="E977" s="1071"/>
      <c r="F977" s="1071"/>
      <c r="G977" s="1096">
        <f t="shared" si="43"/>
        <v>4.2194999999999991</v>
      </c>
      <c r="H977" s="1005"/>
      <c r="I977" s="1005"/>
      <c r="J977" s="1005"/>
      <c r="K977" s="1005"/>
      <c r="L977" s="1005"/>
      <c r="M977" s="1005"/>
    </row>
    <row r="978" spans="1:13" ht="24">
      <c r="A978" s="1049" t="s">
        <v>836</v>
      </c>
      <c r="B978" s="1071">
        <f>3.85+3.85+9.8+9.8</f>
        <v>27.3</v>
      </c>
      <c r="C978" s="1071">
        <v>0.15</v>
      </c>
      <c r="D978" s="1071">
        <f t="shared" si="42"/>
        <v>4.0949999999999998</v>
      </c>
      <c r="E978" s="1071"/>
      <c r="F978" s="1071"/>
      <c r="G978" s="1096">
        <f t="shared" si="43"/>
        <v>4.0949999999999998</v>
      </c>
      <c r="H978" s="1005"/>
      <c r="I978" s="1005"/>
      <c r="J978" s="1005"/>
      <c r="K978" s="1005"/>
      <c r="L978" s="1005"/>
      <c r="M978" s="1005"/>
    </row>
    <row r="979" spans="1:13" ht="36">
      <c r="A979" s="1049" t="s">
        <v>837</v>
      </c>
      <c r="B979" s="1071">
        <f>7.8+7.5+17.1+3.35</f>
        <v>35.750000000000007</v>
      </c>
      <c r="C979" s="1071">
        <v>0.15</v>
      </c>
      <c r="D979" s="1071">
        <f t="shared" si="42"/>
        <v>5.3625000000000007</v>
      </c>
      <c r="E979" s="1071"/>
      <c r="F979" s="1071"/>
      <c r="G979" s="1096">
        <f t="shared" si="43"/>
        <v>5.3625000000000007</v>
      </c>
      <c r="H979" s="1005"/>
      <c r="I979" s="1005"/>
      <c r="J979" s="1005"/>
      <c r="K979" s="1005"/>
      <c r="L979" s="1005"/>
      <c r="M979" s="1005"/>
    </row>
    <row r="980" spans="1:13" ht="24">
      <c r="A980" s="1049" t="s">
        <v>838</v>
      </c>
      <c r="B980" s="1071">
        <f>3.35+1.8</f>
        <v>5.15</v>
      </c>
      <c r="C980" s="1071">
        <v>1.28</v>
      </c>
      <c r="D980" s="1071">
        <f t="shared" si="42"/>
        <v>6.5920000000000005</v>
      </c>
      <c r="E980" s="1071"/>
      <c r="F980" s="1071"/>
      <c r="G980" s="1096">
        <f t="shared" si="43"/>
        <v>6.5920000000000005</v>
      </c>
      <c r="H980" s="1005"/>
      <c r="I980" s="1005"/>
      <c r="J980" s="1005"/>
      <c r="K980" s="1005"/>
      <c r="L980" s="1005"/>
      <c r="M980" s="1005"/>
    </row>
    <row r="981" spans="1:13" ht="24">
      <c r="A981" s="1049" t="s">
        <v>839</v>
      </c>
      <c r="B981" s="1071">
        <f>7.8+7.5</f>
        <v>15.3</v>
      </c>
      <c r="C981" s="1071">
        <v>1.28</v>
      </c>
      <c r="D981" s="1071">
        <f t="shared" si="42"/>
        <v>19.584</v>
      </c>
      <c r="E981" s="1071"/>
      <c r="F981" s="1071"/>
      <c r="G981" s="1096">
        <f t="shared" si="43"/>
        <v>19.584</v>
      </c>
      <c r="H981" s="1005"/>
      <c r="I981" s="1005"/>
      <c r="J981" s="1005"/>
      <c r="K981" s="1005"/>
      <c r="L981" s="1005"/>
      <c r="M981" s="1005"/>
    </row>
    <row r="982" spans="1:13">
      <c r="A982" s="2334"/>
      <c r="B982" s="2254"/>
      <c r="C982" s="2254"/>
      <c r="D982" s="2254"/>
      <c r="E982" s="2254"/>
      <c r="F982" s="2254"/>
      <c r="G982" s="2255"/>
      <c r="H982" s="1005"/>
      <c r="I982" s="1005"/>
      <c r="J982" s="1005"/>
      <c r="K982" s="1005"/>
      <c r="L982" s="1005"/>
      <c r="M982" s="1005"/>
    </row>
    <row r="983" spans="1:13">
      <c r="A983" s="2387" t="s">
        <v>782</v>
      </c>
      <c r="B983" s="2388"/>
      <c r="C983" s="2388"/>
      <c r="D983" s="2388"/>
      <c r="E983" s="2388"/>
      <c r="F983" s="2388"/>
      <c r="G983" s="2389"/>
      <c r="H983" s="1005"/>
      <c r="I983" s="1005"/>
      <c r="J983" s="1005"/>
      <c r="K983" s="1005"/>
      <c r="L983" s="1005"/>
      <c r="M983" s="1005"/>
    </row>
    <row r="984" spans="1:13">
      <c r="A984" s="1094">
        <v>4.1500000000000004</v>
      </c>
      <c r="B984" s="1071">
        <v>4.1500000000000004</v>
      </c>
      <c r="C984" s="1071">
        <v>2.2799999999999998</v>
      </c>
      <c r="D984" s="1071">
        <f t="shared" ref="D984:D990" si="44">C984*B984</f>
        <v>9.4619999999999997</v>
      </c>
      <c r="E984" s="1071"/>
      <c r="F984" s="1071"/>
      <c r="G984" s="1096">
        <f>D984*C984</f>
        <v>21.573359999999997</v>
      </c>
      <c r="H984" s="1005"/>
      <c r="I984" s="1005"/>
      <c r="J984" s="1005"/>
      <c r="K984" s="1005"/>
      <c r="L984" s="1005"/>
      <c r="M984" s="1005"/>
    </row>
    <row r="985" spans="1:13">
      <c r="A985" s="1094">
        <v>3.35</v>
      </c>
      <c r="B985" s="1071">
        <v>3.35</v>
      </c>
      <c r="C985" s="1071">
        <v>4.32</v>
      </c>
      <c r="D985" s="1071">
        <f t="shared" si="44"/>
        <v>14.472000000000001</v>
      </c>
      <c r="E985" s="1071"/>
      <c r="F985" s="1071"/>
      <c r="G985" s="1096">
        <f>D985</f>
        <v>14.472000000000001</v>
      </c>
      <c r="H985" s="1005"/>
      <c r="I985" s="1005"/>
      <c r="J985" s="1005"/>
      <c r="K985" s="1005"/>
      <c r="L985" s="1005"/>
      <c r="M985" s="1005"/>
    </row>
    <row r="986" spans="1:13">
      <c r="A986" s="1094">
        <v>2.35</v>
      </c>
      <c r="B986" s="1071">
        <v>2.35</v>
      </c>
      <c r="C986" s="1071">
        <v>4.32</v>
      </c>
      <c r="D986" s="1071">
        <f t="shared" si="44"/>
        <v>10.152000000000001</v>
      </c>
      <c r="E986" s="1095" t="s">
        <v>790</v>
      </c>
      <c r="F986" s="1071">
        <f>2.2*1.1</f>
        <v>2.4200000000000004</v>
      </c>
      <c r="G986" s="1096">
        <f>D986-F986</f>
        <v>7.7320000000000011</v>
      </c>
      <c r="H986" s="1005"/>
      <c r="I986" s="1005"/>
      <c r="J986" s="1005"/>
      <c r="K986" s="1005"/>
      <c r="L986" s="1005"/>
      <c r="M986" s="1005"/>
    </row>
    <row r="987" spans="1:13">
      <c r="A987" s="1094">
        <v>4.1500000000000004</v>
      </c>
      <c r="B987" s="1071">
        <v>4.1500000000000004</v>
      </c>
      <c r="C987" s="1071">
        <v>1.27</v>
      </c>
      <c r="D987" s="1071">
        <f t="shared" si="44"/>
        <v>5.2705000000000002</v>
      </c>
      <c r="E987" s="1071"/>
      <c r="F987" s="1071"/>
      <c r="G987" s="1096">
        <f>D987</f>
        <v>5.2705000000000002</v>
      </c>
      <c r="H987" s="1005"/>
      <c r="I987" s="1005"/>
      <c r="J987" s="1005"/>
      <c r="K987" s="1005"/>
      <c r="L987" s="1005"/>
      <c r="M987" s="1005"/>
    </row>
    <row r="988" spans="1:13">
      <c r="A988" s="1049" t="s">
        <v>840</v>
      </c>
      <c r="B988" s="1071">
        <v>4.1500000000000004</v>
      </c>
      <c r="C988" s="1071">
        <v>1.27</v>
      </c>
      <c r="D988" s="1071">
        <f t="shared" si="44"/>
        <v>5.2705000000000002</v>
      </c>
      <c r="E988" s="1071"/>
      <c r="F988" s="1071"/>
      <c r="G988" s="1096">
        <f>D988</f>
        <v>5.2705000000000002</v>
      </c>
      <c r="H988" s="1005"/>
      <c r="I988" s="1005"/>
      <c r="J988" s="1005"/>
      <c r="K988" s="1005"/>
      <c r="L988" s="1005"/>
      <c r="M988" s="1005"/>
    </row>
    <row r="989" spans="1:13" ht="24">
      <c r="A989" s="1049" t="s">
        <v>841</v>
      </c>
      <c r="B989" s="1071">
        <f>4.45+4.6+4.6</f>
        <v>13.65</v>
      </c>
      <c r="C989" s="1071">
        <v>1.78</v>
      </c>
      <c r="D989" s="1071">
        <f t="shared" si="44"/>
        <v>24.297000000000001</v>
      </c>
      <c r="E989" s="1071"/>
      <c r="F989" s="1071"/>
      <c r="G989" s="1096">
        <f>D989</f>
        <v>24.297000000000001</v>
      </c>
      <c r="H989" s="1005"/>
      <c r="I989" s="1005"/>
      <c r="J989" s="1005"/>
      <c r="K989" s="1005"/>
      <c r="L989" s="1005"/>
      <c r="M989" s="1005"/>
    </row>
    <row r="990" spans="1:13" ht="24">
      <c r="A990" s="1049" t="s">
        <v>843</v>
      </c>
      <c r="B990" s="1071">
        <f>3.85+3.85</f>
        <v>7.7</v>
      </c>
      <c r="C990" s="1071">
        <v>2.2799999999999998</v>
      </c>
      <c r="D990" s="1071">
        <f t="shared" si="44"/>
        <v>17.555999999999997</v>
      </c>
      <c r="E990" s="1071"/>
      <c r="F990" s="1071"/>
      <c r="G990" s="1096">
        <f>D990</f>
        <v>17.555999999999997</v>
      </c>
      <c r="H990" s="1005"/>
      <c r="I990" s="1005"/>
      <c r="J990" s="1005"/>
      <c r="K990" s="1005"/>
      <c r="L990" s="1005"/>
      <c r="M990" s="1005"/>
    </row>
    <row r="991" spans="1:13" ht="24">
      <c r="A991" s="1154" t="s">
        <v>844</v>
      </c>
      <c r="B991" s="1155">
        <v>4.5999999999999996</v>
      </c>
      <c r="C991" s="1132">
        <v>1.93</v>
      </c>
      <c r="D991" s="1132">
        <f>B991*C991</f>
        <v>8.8779999999999983</v>
      </c>
      <c r="E991" s="1132"/>
      <c r="F991" s="1132"/>
      <c r="G991" s="1157">
        <f>D991-F991</f>
        <v>8.8779999999999983</v>
      </c>
      <c r="H991" s="1005"/>
      <c r="I991" s="1005"/>
      <c r="J991" s="1005"/>
      <c r="K991" s="1005"/>
      <c r="L991" s="1005"/>
      <c r="M991" s="1005"/>
    </row>
    <row r="992" spans="1:13">
      <c r="A992" s="2334"/>
      <c r="B992" s="2254"/>
      <c r="C992" s="2254"/>
      <c r="D992" s="2254"/>
      <c r="E992" s="2254"/>
      <c r="F992" s="2254"/>
      <c r="G992" s="2255"/>
      <c r="H992" s="1005"/>
      <c r="I992" s="1005"/>
      <c r="J992" s="1005"/>
      <c r="K992" s="1005"/>
      <c r="L992" s="1005"/>
      <c r="M992" s="1005"/>
    </row>
    <row r="993" spans="1:13">
      <c r="A993" s="2387" t="s">
        <v>800</v>
      </c>
      <c r="B993" s="2388"/>
      <c r="C993" s="2388"/>
      <c r="D993" s="2388"/>
      <c r="E993" s="2388"/>
      <c r="F993" s="2388"/>
      <c r="G993" s="2389"/>
      <c r="H993" s="1005"/>
      <c r="I993" s="1005"/>
      <c r="J993" s="1005"/>
      <c r="K993" s="1005"/>
      <c r="L993" s="1005"/>
      <c r="M993" s="1005"/>
    </row>
    <row r="994" spans="1:13" ht="36">
      <c r="A994" s="1049" t="s">
        <v>845</v>
      </c>
      <c r="B994" s="1071">
        <f>3.65+4.8</f>
        <v>8.4499999999999993</v>
      </c>
      <c r="C994" s="1071">
        <v>4.32</v>
      </c>
      <c r="D994" s="1071">
        <f>B994*C994</f>
        <v>36.503999999999998</v>
      </c>
      <c r="E994" s="1095" t="s">
        <v>846</v>
      </c>
      <c r="F994" s="1071">
        <f>(2.2*1.1)+(2.3+1.1)</f>
        <v>5.82</v>
      </c>
      <c r="G994" s="1096">
        <f>D994-F994</f>
        <v>30.683999999999997</v>
      </c>
      <c r="H994" s="1005"/>
      <c r="I994" s="1005"/>
      <c r="J994" s="1005"/>
      <c r="K994" s="1005"/>
      <c r="L994" s="1005"/>
      <c r="M994" s="1005"/>
    </row>
    <row r="995" spans="1:13" ht="60">
      <c r="A995" s="1049" t="s">
        <v>849</v>
      </c>
      <c r="B995" s="1153">
        <f>7.8+7.8+17.25</f>
        <v>32.85</v>
      </c>
      <c r="C995" s="1071">
        <v>4.32</v>
      </c>
      <c r="D995" s="1071">
        <f>B995*C995</f>
        <v>141.91200000000001</v>
      </c>
      <c r="E995" s="1095" t="s">
        <v>850</v>
      </c>
      <c r="F995" s="1071">
        <f>((2.3*1.1)*3)+((1.1*0.6)*2)+(1.6*2.1)</f>
        <v>12.27</v>
      </c>
      <c r="G995" s="1096">
        <f>D995-F995</f>
        <v>129.642</v>
      </c>
      <c r="H995" s="1005"/>
      <c r="I995" s="1005"/>
      <c r="J995" s="1005"/>
      <c r="K995" s="1005"/>
      <c r="L995" s="1005"/>
      <c r="M995" s="1005"/>
    </row>
    <row r="996" spans="1:13">
      <c r="A996" s="1094">
        <v>5.15</v>
      </c>
      <c r="B996" s="1153">
        <v>5.15</v>
      </c>
      <c r="C996" s="1071">
        <v>4.2699999999999996</v>
      </c>
      <c r="D996" s="1071">
        <f>B996*C996</f>
        <v>21.990500000000001</v>
      </c>
      <c r="E996" s="1071"/>
      <c r="F996" s="1071"/>
      <c r="G996" s="1096">
        <f>D996</f>
        <v>21.990500000000001</v>
      </c>
      <c r="H996" s="1005"/>
      <c r="I996" s="1005"/>
      <c r="J996" s="1005"/>
      <c r="K996" s="1005"/>
      <c r="L996" s="1005"/>
      <c r="M996" s="1005"/>
    </row>
    <row r="997" spans="1:13" ht="24">
      <c r="A997" s="1094">
        <v>4.1500000000000004</v>
      </c>
      <c r="B997" s="1153">
        <v>4.1500000000000004</v>
      </c>
      <c r="C997" s="1071">
        <v>2.84</v>
      </c>
      <c r="D997" s="1071">
        <f>B997*C997</f>
        <v>11.786</v>
      </c>
      <c r="E997" s="1095" t="s">
        <v>851</v>
      </c>
      <c r="F997" s="1071">
        <f>(1.3*2.1)+(2.3*1.1)</f>
        <v>5.26</v>
      </c>
      <c r="G997" s="1096">
        <f>D997-F997</f>
        <v>6.5259999999999998</v>
      </c>
      <c r="H997" s="1005"/>
      <c r="I997" s="1005"/>
      <c r="J997" s="1005"/>
      <c r="K997" s="1005"/>
      <c r="L997" s="1005"/>
      <c r="M997" s="1005"/>
    </row>
    <row r="998" spans="1:13">
      <c r="A998" s="1049" t="s">
        <v>852</v>
      </c>
      <c r="B998" s="1071">
        <v>7.5</v>
      </c>
      <c r="C998" s="1071">
        <v>1.78</v>
      </c>
      <c r="D998" s="1071">
        <f>C998*B998</f>
        <v>13.35</v>
      </c>
      <c r="E998" s="1071"/>
      <c r="F998" s="1071"/>
      <c r="G998" s="1096">
        <f>D998-F998</f>
        <v>13.35</v>
      </c>
      <c r="H998" s="1005"/>
      <c r="I998" s="1005"/>
      <c r="J998" s="1005"/>
      <c r="K998" s="1005"/>
      <c r="L998" s="1005"/>
      <c r="M998" s="1005"/>
    </row>
    <row r="999" spans="1:13">
      <c r="A999" s="1049" t="s">
        <v>853</v>
      </c>
      <c r="B999" s="1071">
        <v>16.95</v>
      </c>
      <c r="C999" s="1071">
        <v>1.28</v>
      </c>
      <c r="D999" s="1071">
        <f>C999*B999</f>
        <v>21.695999999999998</v>
      </c>
      <c r="E999" s="1071"/>
      <c r="F999" s="1071"/>
      <c r="G999" s="1096">
        <f>D999-F999</f>
        <v>21.695999999999998</v>
      </c>
      <c r="H999" s="1005"/>
      <c r="I999" s="1005"/>
      <c r="J999" s="1005"/>
      <c r="K999" s="1005"/>
      <c r="L999" s="1005"/>
      <c r="M999" s="1005"/>
    </row>
    <row r="1000" spans="1:13" ht="24">
      <c r="A1000" s="1049" t="s">
        <v>854</v>
      </c>
      <c r="B1000" s="1071">
        <f>9.5+9.5+9.5</f>
        <v>28.5</v>
      </c>
      <c r="C1000" s="1071">
        <v>2.2799999999999998</v>
      </c>
      <c r="D1000" s="1071">
        <f>C1000*B1000</f>
        <v>64.97999999999999</v>
      </c>
      <c r="E1000" s="1071"/>
      <c r="F1000" s="1071"/>
      <c r="G1000" s="1096">
        <f>D1000-F1000</f>
        <v>64.97999999999999</v>
      </c>
      <c r="H1000" s="1005"/>
      <c r="I1000" s="1005"/>
      <c r="J1000" s="1005"/>
      <c r="K1000" s="1005"/>
      <c r="L1000" s="1005"/>
      <c r="M1000" s="1005"/>
    </row>
    <row r="1001" spans="1:13">
      <c r="A1001" s="2334"/>
      <c r="B1001" s="2254"/>
      <c r="C1001" s="2254"/>
      <c r="D1001" s="2254"/>
      <c r="E1001" s="2254"/>
      <c r="F1001" s="2254"/>
      <c r="G1001" s="2255"/>
      <c r="H1001" s="1005"/>
      <c r="I1001" s="1005"/>
      <c r="J1001" s="1005"/>
      <c r="K1001" s="1005"/>
      <c r="L1001" s="1005"/>
      <c r="M1001" s="1005"/>
    </row>
    <row r="1002" spans="1:13">
      <c r="A1002" s="2271" t="s">
        <v>2161</v>
      </c>
      <c r="B1002" s="2274"/>
      <c r="C1002" s="2274"/>
      <c r="D1002" s="2274"/>
      <c r="E1002" s="2274"/>
      <c r="F1002" s="2274"/>
      <c r="G1002" s="2275"/>
      <c r="H1002" s="1005"/>
      <c r="I1002" s="1271"/>
      <c r="J1002" s="1005"/>
      <c r="K1002" s="1005"/>
      <c r="L1002" s="1005"/>
      <c r="M1002" s="1005"/>
    </row>
    <row r="1003" spans="1:13">
      <c r="A1003" s="2375"/>
      <c r="B1003" s="2376"/>
      <c r="C1003" s="2381" t="s">
        <v>772</v>
      </c>
      <c r="D1003" s="2382"/>
      <c r="E1003" s="2382"/>
      <c r="F1003" s="2383"/>
      <c r="G1003" s="1096"/>
      <c r="H1003" s="1005"/>
      <c r="I1003" s="1005"/>
      <c r="J1003" s="1005"/>
      <c r="K1003" s="1005"/>
      <c r="L1003" s="1005"/>
      <c r="M1003" s="1005"/>
    </row>
    <row r="1004" spans="1:13">
      <c r="A1004" s="2377"/>
      <c r="B1004" s="2378"/>
      <c r="C1004" s="2384" t="s">
        <v>324</v>
      </c>
      <c r="D1004" s="2385"/>
      <c r="E1004" s="2385"/>
      <c r="F1004" s="2386"/>
      <c r="G1004" s="1159">
        <f>ROUNDUP(G976+G977+G978+G979+G980+G981,2)</f>
        <v>42.71</v>
      </c>
      <c r="H1004" s="1005"/>
      <c r="I1004" s="1005"/>
      <c r="J1004" s="1005"/>
      <c r="K1004" s="1005"/>
      <c r="L1004" s="1005"/>
      <c r="M1004" s="1005"/>
    </row>
    <row r="1005" spans="1:13">
      <c r="A1005" s="2377"/>
      <c r="B1005" s="2378"/>
      <c r="C1005" s="2381" t="s">
        <v>782</v>
      </c>
      <c r="D1005" s="2382"/>
      <c r="E1005" s="2382"/>
      <c r="F1005" s="2383"/>
      <c r="G1005" s="1160"/>
      <c r="H1005" s="1005"/>
      <c r="I1005" s="1005"/>
      <c r="J1005" s="1005"/>
      <c r="K1005" s="1005"/>
      <c r="L1005" s="1005"/>
      <c r="M1005" s="1005"/>
    </row>
    <row r="1006" spans="1:13">
      <c r="A1006" s="2377"/>
      <c r="B1006" s="2378"/>
      <c r="C1006" s="2384" t="s">
        <v>324</v>
      </c>
      <c r="D1006" s="2385"/>
      <c r="E1006" s="2385"/>
      <c r="F1006" s="2386"/>
      <c r="G1006" s="1159">
        <f>ROUNDUP(G984+G985+G986+G987+G988+G989+G990+G991,2)</f>
        <v>105.05000000000001</v>
      </c>
      <c r="H1006" s="1005"/>
      <c r="I1006" s="1005"/>
      <c r="J1006" s="1005"/>
      <c r="K1006" s="1005"/>
      <c r="L1006" s="1005"/>
      <c r="M1006" s="1005"/>
    </row>
    <row r="1007" spans="1:13">
      <c r="A1007" s="2377"/>
      <c r="B1007" s="2378"/>
      <c r="C1007" s="2381" t="s">
        <v>800</v>
      </c>
      <c r="D1007" s="2382"/>
      <c r="E1007" s="2382"/>
      <c r="F1007" s="2383"/>
      <c r="G1007" s="1160"/>
      <c r="H1007" s="1005"/>
      <c r="I1007" s="1005"/>
      <c r="J1007" s="1005"/>
      <c r="K1007" s="1005"/>
      <c r="L1007" s="1005"/>
      <c r="M1007" s="1005"/>
    </row>
    <row r="1008" spans="1:13">
      <c r="A1008" s="2379"/>
      <c r="B1008" s="2380"/>
      <c r="C1008" s="2384" t="s">
        <v>324</v>
      </c>
      <c r="D1008" s="2385"/>
      <c r="E1008" s="2385"/>
      <c r="F1008" s="2386"/>
      <c r="G1008" s="1159">
        <f>ROUNDUP(G994+G995+G996+G997+G998+G999+G1000,2)</f>
        <v>288.87</v>
      </c>
      <c r="H1008" s="1005"/>
      <c r="I1008" s="1005"/>
      <c r="J1008" s="1005"/>
      <c r="K1008" s="1005"/>
      <c r="L1008" s="1005"/>
      <c r="M1008" s="1005"/>
    </row>
    <row r="1009" spans="1:13" ht="15.75" thickBot="1">
      <c r="A1009" s="2372" t="s">
        <v>357</v>
      </c>
      <c r="B1009" s="2373"/>
      <c r="C1009" s="2373"/>
      <c r="D1009" s="2373"/>
      <c r="E1009" s="2373"/>
      <c r="F1009" s="2374"/>
      <c r="G1009" s="1180">
        <f>ROUNDUP(G1004+G1006+G1008,2)</f>
        <v>436.63</v>
      </c>
      <c r="H1009" s="1005"/>
      <c r="I1009" s="1005"/>
      <c r="J1009" s="1005"/>
      <c r="K1009" s="1005"/>
      <c r="L1009" s="1005"/>
      <c r="M1009" s="1005"/>
    </row>
    <row r="1010" spans="1:13" ht="15.75" thickBot="1">
      <c r="A1010" s="1200"/>
      <c r="B1010" s="1201"/>
      <c r="C1010" s="1201"/>
      <c r="D1010" s="1201"/>
      <c r="E1010" s="1201"/>
      <c r="F1010" s="1201"/>
      <c r="G1010" s="1202"/>
      <c r="H1010" s="1005"/>
      <c r="I1010" s="1005"/>
      <c r="J1010" s="1005"/>
      <c r="K1010" s="1005"/>
      <c r="L1010" s="1005"/>
      <c r="M1010" s="1005"/>
    </row>
    <row r="1011" spans="1:13" ht="15.75" thickBot="1">
      <c r="A1011" s="1019" t="s">
        <v>631</v>
      </c>
      <c r="B1011" s="2262" t="s">
        <v>934</v>
      </c>
      <c r="C1011" s="2263"/>
      <c r="D1011" s="2263"/>
      <c r="E1011" s="2263"/>
      <c r="F1011" s="2263"/>
      <c r="G1011" s="2264"/>
      <c r="H1011" s="1005"/>
      <c r="I1011" s="1005"/>
      <c r="J1011" s="1005"/>
      <c r="K1011" s="1005"/>
      <c r="L1011" s="1005"/>
      <c r="M1011" s="1005"/>
    </row>
    <row r="1012" spans="1:13">
      <c r="A1012" s="2304" t="s">
        <v>320</v>
      </c>
      <c r="B1012" s="2305"/>
      <c r="C1012" s="2305"/>
      <c r="D1012" s="2305"/>
      <c r="E1012" s="2305"/>
      <c r="F1012" s="2305"/>
      <c r="G1012" s="2306"/>
      <c r="H1012" s="1005"/>
      <c r="I1012" s="1005"/>
      <c r="J1012" s="1005"/>
      <c r="K1012" s="1005"/>
      <c r="L1012" s="1005"/>
      <c r="M1012" s="1005"/>
    </row>
    <row r="1013" spans="1:13">
      <c r="A1013" s="2268" t="s">
        <v>402</v>
      </c>
      <c r="B1013" s="2269"/>
      <c r="C1013" s="2269"/>
      <c r="D1013" s="2269"/>
      <c r="E1013" s="2269"/>
      <c r="F1013" s="2269"/>
      <c r="G1013" s="2270"/>
      <c r="H1013" s="1005"/>
      <c r="I1013" s="1005"/>
      <c r="J1013" s="1005"/>
      <c r="K1013" s="1005"/>
      <c r="L1013" s="1005"/>
      <c r="M1013" s="1005"/>
    </row>
    <row r="1014" spans="1:13">
      <c r="A1014" s="1034" t="s">
        <v>339</v>
      </c>
      <c r="B1014" s="1035" t="s">
        <v>339</v>
      </c>
      <c r="C1014" s="1035" t="s">
        <v>349</v>
      </c>
      <c r="D1014" s="1035" t="s">
        <v>350</v>
      </c>
      <c r="E1014" s="1035" t="s">
        <v>351</v>
      </c>
      <c r="F1014" s="1035" t="s">
        <v>352</v>
      </c>
      <c r="G1014" s="1093" t="s">
        <v>353</v>
      </c>
      <c r="H1014" s="1005"/>
      <c r="I1014" s="1005"/>
      <c r="J1014" s="1005"/>
      <c r="K1014" s="1005"/>
      <c r="L1014" s="1005"/>
      <c r="M1014" s="1005"/>
    </row>
    <row r="1015" spans="1:13">
      <c r="A1015" s="2387" t="s">
        <v>772</v>
      </c>
      <c r="B1015" s="2388"/>
      <c r="C1015" s="2388"/>
      <c r="D1015" s="2388"/>
      <c r="E1015" s="2388"/>
      <c r="F1015" s="2388"/>
      <c r="G1015" s="2389"/>
      <c r="H1015" s="1005"/>
      <c r="I1015" s="1005"/>
      <c r="J1015" s="1005"/>
      <c r="K1015" s="1005"/>
      <c r="L1015" s="1005"/>
      <c r="M1015" s="1005"/>
    </row>
    <row r="1016" spans="1:13" ht="24">
      <c r="A1016" s="1049" t="s">
        <v>834</v>
      </c>
      <c r="B1016" s="1071">
        <f>4.75+9.5+4.75</f>
        <v>19</v>
      </c>
      <c r="C1016" s="1071">
        <v>0.15</v>
      </c>
      <c r="D1016" s="1071">
        <f t="shared" ref="D1016:D1021" si="45">C1016*B1016</f>
        <v>2.85</v>
      </c>
      <c r="E1016" s="1071"/>
      <c r="F1016" s="1071"/>
      <c r="G1016" s="1096">
        <f t="shared" ref="G1016:G1021" si="46">D1016-F1016</f>
        <v>2.85</v>
      </c>
      <c r="H1016" s="1005"/>
      <c r="I1016" s="1005"/>
      <c r="J1016" s="1005"/>
      <c r="K1016" s="1005"/>
      <c r="L1016" s="1005"/>
      <c r="M1016" s="1005"/>
    </row>
    <row r="1017" spans="1:13" ht="36">
      <c r="A1017" s="1049" t="s">
        <v>835</v>
      </c>
      <c r="B1017" s="1071">
        <f>4.15+4+1.6+3.08+4.5+1.65+5.15+4</f>
        <v>28.129999999999995</v>
      </c>
      <c r="C1017" s="1071">
        <v>0.15</v>
      </c>
      <c r="D1017" s="1071">
        <f t="shared" si="45"/>
        <v>4.2194999999999991</v>
      </c>
      <c r="E1017" s="1071"/>
      <c r="F1017" s="1071"/>
      <c r="G1017" s="1096">
        <f t="shared" si="46"/>
        <v>4.2194999999999991</v>
      </c>
      <c r="H1017" s="1005"/>
      <c r="I1017" s="1005"/>
      <c r="J1017" s="1005"/>
      <c r="K1017" s="1005"/>
      <c r="L1017" s="1005"/>
      <c r="M1017" s="1005"/>
    </row>
    <row r="1018" spans="1:13" ht="24">
      <c r="A1018" s="1049" t="s">
        <v>836</v>
      </c>
      <c r="B1018" s="1071">
        <f>3.85+3.85+9.8+9.8</f>
        <v>27.3</v>
      </c>
      <c r="C1018" s="1071">
        <v>0.15</v>
      </c>
      <c r="D1018" s="1071">
        <f t="shared" si="45"/>
        <v>4.0949999999999998</v>
      </c>
      <c r="E1018" s="1071"/>
      <c r="F1018" s="1071"/>
      <c r="G1018" s="1096">
        <f t="shared" si="46"/>
        <v>4.0949999999999998</v>
      </c>
      <c r="H1018" s="1005"/>
      <c r="I1018" s="1005"/>
      <c r="J1018" s="1005"/>
      <c r="K1018" s="1005"/>
      <c r="L1018" s="1005"/>
      <c r="M1018" s="1005"/>
    </row>
    <row r="1019" spans="1:13" ht="36">
      <c r="A1019" s="1049" t="s">
        <v>837</v>
      </c>
      <c r="B1019" s="1071">
        <f>7.8+7.5+17.1+3.35</f>
        <v>35.750000000000007</v>
      </c>
      <c r="C1019" s="1071">
        <v>0.15</v>
      </c>
      <c r="D1019" s="1071">
        <f t="shared" si="45"/>
        <v>5.3625000000000007</v>
      </c>
      <c r="E1019" s="1071"/>
      <c r="F1019" s="1071"/>
      <c r="G1019" s="1096">
        <f t="shared" si="46"/>
        <v>5.3625000000000007</v>
      </c>
      <c r="H1019" s="1005"/>
      <c r="I1019" s="1005"/>
      <c r="J1019" s="1005"/>
      <c r="K1019" s="1005"/>
      <c r="L1019" s="1005"/>
      <c r="M1019" s="1005"/>
    </row>
    <row r="1020" spans="1:13" ht="24">
      <c r="A1020" s="1049" t="s">
        <v>838</v>
      </c>
      <c r="B1020" s="1071">
        <f>3.35+1.8</f>
        <v>5.15</v>
      </c>
      <c r="C1020" s="1071">
        <v>1.28</v>
      </c>
      <c r="D1020" s="1071">
        <f t="shared" si="45"/>
        <v>6.5920000000000005</v>
      </c>
      <c r="E1020" s="1071"/>
      <c r="F1020" s="1071"/>
      <c r="G1020" s="1096">
        <f t="shared" si="46"/>
        <v>6.5920000000000005</v>
      </c>
      <c r="H1020" s="1005"/>
      <c r="I1020" s="1005"/>
      <c r="J1020" s="1005"/>
      <c r="K1020" s="1005"/>
      <c r="L1020" s="1005"/>
      <c r="M1020" s="1005"/>
    </row>
    <row r="1021" spans="1:13" ht="24">
      <c r="A1021" s="1049" t="s">
        <v>839</v>
      </c>
      <c r="B1021" s="1071">
        <f>7.8+7.5</f>
        <v>15.3</v>
      </c>
      <c r="C1021" s="1071">
        <v>1.28</v>
      </c>
      <c r="D1021" s="1071">
        <f t="shared" si="45"/>
        <v>19.584</v>
      </c>
      <c r="E1021" s="1071"/>
      <c r="F1021" s="1071"/>
      <c r="G1021" s="1096">
        <f t="shared" si="46"/>
        <v>19.584</v>
      </c>
      <c r="H1021" s="1005"/>
      <c r="I1021" s="1005"/>
      <c r="J1021" s="1005"/>
      <c r="K1021" s="1005"/>
      <c r="L1021" s="1005"/>
      <c r="M1021" s="1005"/>
    </row>
    <row r="1022" spans="1:13">
      <c r="A1022" s="2334"/>
      <c r="B1022" s="2254"/>
      <c r="C1022" s="2254"/>
      <c r="D1022" s="2254"/>
      <c r="E1022" s="2254"/>
      <c r="F1022" s="2254"/>
      <c r="G1022" s="2255"/>
      <c r="H1022" s="1005"/>
      <c r="I1022" s="1005"/>
      <c r="J1022" s="1005"/>
      <c r="K1022" s="1005"/>
      <c r="L1022" s="1005"/>
      <c r="M1022" s="1005"/>
    </row>
    <row r="1023" spans="1:13">
      <c r="A1023" s="2387" t="s">
        <v>782</v>
      </c>
      <c r="B1023" s="2388"/>
      <c r="C1023" s="2388"/>
      <c r="D1023" s="2388"/>
      <c r="E1023" s="2388"/>
      <c r="F1023" s="2388"/>
      <c r="G1023" s="2389"/>
      <c r="H1023" s="1005"/>
      <c r="I1023" s="1005"/>
      <c r="J1023" s="1005"/>
      <c r="K1023" s="1005"/>
      <c r="L1023" s="1005"/>
      <c r="M1023" s="1005"/>
    </row>
    <row r="1024" spans="1:13">
      <c r="A1024" s="1094">
        <v>4.1500000000000004</v>
      </c>
      <c r="B1024" s="1071">
        <v>4.1500000000000004</v>
      </c>
      <c r="C1024" s="1071">
        <v>2.2799999999999998</v>
      </c>
      <c r="D1024" s="1071">
        <f t="shared" ref="D1024:D1030" si="47">C1024*B1024</f>
        <v>9.4619999999999997</v>
      </c>
      <c r="E1024" s="1071"/>
      <c r="F1024" s="1071"/>
      <c r="G1024" s="1096">
        <f>D1024*C1024</f>
        <v>21.573359999999997</v>
      </c>
      <c r="H1024" s="1005"/>
      <c r="I1024" s="1005"/>
      <c r="J1024" s="1005"/>
      <c r="K1024" s="1005"/>
      <c r="L1024" s="1005"/>
      <c r="M1024" s="1005"/>
    </row>
    <row r="1025" spans="1:13">
      <c r="A1025" s="1094">
        <v>3.35</v>
      </c>
      <c r="B1025" s="1071">
        <v>3.35</v>
      </c>
      <c r="C1025" s="1071">
        <v>4.32</v>
      </c>
      <c r="D1025" s="1071">
        <f t="shared" si="47"/>
        <v>14.472000000000001</v>
      </c>
      <c r="E1025" s="1071"/>
      <c r="F1025" s="1071"/>
      <c r="G1025" s="1096">
        <f>D1025</f>
        <v>14.472000000000001</v>
      </c>
      <c r="H1025" s="1005"/>
      <c r="I1025" s="1005"/>
      <c r="J1025" s="1005"/>
      <c r="K1025" s="1005"/>
      <c r="L1025" s="1005"/>
      <c r="M1025" s="1005"/>
    </row>
    <row r="1026" spans="1:13">
      <c r="A1026" s="1094">
        <v>2.35</v>
      </c>
      <c r="B1026" s="1071">
        <v>2.35</v>
      </c>
      <c r="C1026" s="1071">
        <v>4.32</v>
      </c>
      <c r="D1026" s="1071">
        <f t="shared" si="47"/>
        <v>10.152000000000001</v>
      </c>
      <c r="E1026" s="1095" t="s">
        <v>790</v>
      </c>
      <c r="F1026" s="1071">
        <f>2.2*1.1</f>
        <v>2.4200000000000004</v>
      </c>
      <c r="G1026" s="1096">
        <f>D1026-F1026</f>
        <v>7.7320000000000011</v>
      </c>
      <c r="H1026" s="1005"/>
      <c r="I1026" s="1005"/>
      <c r="J1026" s="1005"/>
      <c r="K1026" s="1005"/>
      <c r="L1026" s="1005"/>
      <c r="M1026" s="1005"/>
    </row>
    <row r="1027" spans="1:13">
      <c r="A1027" s="1094">
        <v>4.1500000000000004</v>
      </c>
      <c r="B1027" s="1071">
        <v>4.1500000000000004</v>
      </c>
      <c r="C1027" s="1071">
        <v>1.27</v>
      </c>
      <c r="D1027" s="1071">
        <f t="shared" si="47"/>
        <v>5.2705000000000002</v>
      </c>
      <c r="E1027" s="1071"/>
      <c r="F1027" s="1071"/>
      <c r="G1027" s="1096">
        <f>D1027</f>
        <v>5.2705000000000002</v>
      </c>
      <c r="H1027" s="1005"/>
      <c r="I1027" s="1005"/>
      <c r="J1027" s="1005"/>
      <c r="K1027" s="1005"/>
      <c r="L1027" s="1005"/>
      <c r="M1027" s="1005"/>
    </row>
    <row r="1028" spans="1:13">
      <c r="A1028" s="1049" t="s">
        <v>840</v>
      </c>
      <c r="B1028" s="1071">
        <v>4.1500000000000004</v>
      </c>
      <c r="C1028" s="1071">
        <v>1.27</v>
      </c>
      <c r="D1028" s="1071">
        <f t="shared" si="47"/>
        <v>5.2705000000000002</v>
      </c>
      <c r="E1028" s="1071"/>
      <c r="F1028" s="1071"/>
      <c r="G1028" s="1096">
        <f>D1028</f>
        <v>5.2705000000000002</v>
      </c>
      <c r="H1028" s="1005"/>
      <c r="I1028" s="1005"/>
      <c r="J1028" s="1005"/>
      <c r="K1028" s="1005"/>
      <c r="L1028" s="1005"/>
      <c r="M1028" s="1005"/>
    </row>
    <row r="1029" spans="1:13" ht="24">
      <c r="A1029" s="1049" t="s">
        <v>841</v>
      </c>
      <c r="B1029" s="1071">
        <f>4.45+4.6+4.6</f>
        <v>13.65</v>
      </c>
      <c r="C1029" s="1071">
        <v>1.78</v>
      </c>
      <c r="D1029" s="1071">
        <f t="shared" si="47"/>
        <v>24.297000000000001</v>
      </c>
      <c r="E1029" s="1071"/>
      <c r="F1029" s="1071"/>
      <c r="G1029" s="1096">
        <f>D1029</f>
        <v>24.297000000000001</v>
      </c>
      <c r="H1029" s="1005"/>
      <c r="I1029" s="1005"/>
      <c r="J1029" s="1005"/>
      <c r="K1029" s="1005"/>
      <c r="L1029" s="1005"/>
      <c r="M1029" s="1005"/>
    </row>
    <row r="1030" spans="1:13" ht="24">
      <c r="A1030" s="1049" t="s">
        <v>843</v>
      </c>
      <c r="B1030" s="1071">
        <f>3.85+3.85</f>
        <v>7.7</v>
      </c>
      <c r="C1030" s="1071">
        <v>2.2799999999999998</v>
      </c>
      <c r="D1030" s="1071">
        <f t="shared" si="47"/>
        <v>17.555999999999997</v>
      </c>
      <c r="E1030" s="1071"/>
      <c r="F1030" s="1071"/>
      <c r="G1030" s="1096">
        <f>D1030</f>
        <v>17.555999999999997</v>
      </c>
      <c r="H1030" s="1005"/>
      <c r="I1030" s="1005"/>
      <c r="J1030" s="1005"/>
      <c r="K1030" s="1005"/>
      <c r="L1030" s="1005"/>
      <c r="M1030" s="1005"/>
    </row>
    <row r="1031" spans="1:13" ht="24">
      <c r="A1031" s="1154" t="s">
        <v>844</v>
      </c>
      <c r="B1031" s="1155">
        <v>4.5999999999999996</v>
      </c>
      <c r="C1031" s="1132">
        <v>1.93</v>
      </c>
      <c r="D1031" s="1132">
        <f>B1031*C1031</f>
        <v>8.8779999999999983</v>
      </c>
      <c r="E1031" s="1132"/>
      <c r="F1031" s="1132"/>
      <c r="G1031" s="1157">
        <f>D1031-F1031</f>
        <v>8.8779999999999983</v>
      </c>
      <c r="H1031" s="1005"/>
      <c r="I1031" s="1005"/>
      <c r="J1031" s="1005"/>
      <c r="K1031" s="1005"/>
      <c r="L1031" s="1005"/>
      <c r="M1031" s="1005"/>
    </row>
    <row r="1032" spans="1:13">
      <c r="A1032" s="2334"/>
      <c r="B1032" s="2254"/>
      <c r="C1032" s="2254"/>
      <c r="D1032" s="2254"/>
      <c r="E1032" s="2254"/>
      <c r="F1032" s="2254"/>
      <c r="G1032" s="2255"/>
      <c r="H1032" s="1005"/>
      <c r="I1032" s="1005"/>
      <c r="J1032" s="1005"/>
      <c r="K1032" s="1005"/>
      <c r="L1032" s="1005"/>
      <c r="M1032" s="1005"/>
    </row>
    <row r="1033" spans="1:13">
      <c r="A1033" s="2387" t="s">
        <v>800</v>
      </c>
      <c r="B1033" s="2388"/>
      <c r="C1033" s="2388"/>
      <c r="D1033" s="2388"/>
      <c r="E1033" s="2388"/>
      <c r="F1033" s="2388"/>
      <c r="G1033" s="2389"/>
      <c r="H1033" s="1005"/>
      <c r="I1033" s="1005"/>
      <c r="J1033" s="1005"/>
      <c r="K1033" s="1005"/>
      <c r="L1033" s="1005"/>
      <c r="M1033" s="1005"/>
    </row>
    <row r="1034" spans="1:13" ht="36">
      <c r="A1034" s="1049" t="s">
        <v>845</v>
      </c>
      <c r="B1034" s="1071">
        <f>3.65+4.8</f>
        <v>8.4499999999999993</v>
      </c>
      <c r="C1034" s="1071">
        <v>4.32</v>
      </c>
      <c r="D1034" s="1071">
        <f>B1034*C1034</f>
        <v>36.503999999999998</v>
      </c>
      <c r="E1034" s="1095" t="s">
        <v>846</v>
      </c>
      <c r="F1034" s="1071">
        <f>(2.2*1.1)+(2.3+1.1)</f>
        <v>5.82</v>
      </c>
      <c r="G1034" s="1096">
        <f>D1034-F1034</f>
        <v>30.683999999999997</v>
      </c>
      <c r="H1034" s="1005"/>
      <c r="I1034" s="1005"/>
      <c r="J1034" s="1005"/>
      <c r="K1034" s="1005"/>
      <c r="L1034" s="1005"/>
      <c r="M1034" s="1005"/>
    </row>
    <row r="1035" spans="1:13" ht="60">
      <c r="A1035" s="1049" t="s">
        <v>849</v>
      </c>
      <c r="B1035" s="1153">
        <f>7.8+7.8+17.25</f>
        <v>32.85</v>
      </c>
      <c r="C1035" s="1071">
        <v>4.32</v>
      </c>
      <c r="D1035" s="1071">
        <f>B1035*C1035</f>
        <v>141.91200000000001</v>
      </c>
      <c r="E1035" s="1095" t="s">
        <v>850</v>
      </c>
      <c r="F1035" s="1071">
        <f>((2.3*1.1)*3)+((1.1*0.6)*2)+(1.6*2.1)</f>
        <v>12.27</v>
      </c>
      <c r="G1035" s="1096">
        <f>D1035-F1035</f>
        <v>129.642</v>
      </c>
      <c r="H1035" s="1005"/>
      <c r="I1035" s="1005"/>
      <c r="J1035" s="1005"/>
      <c r="K1035" s="1005"/>
      <c r="L1035" s="1005"/>
      <c r="M1035" s="1005"/>
    </row>
    <row r="1036" spans="1:13">
      <c r="A1036" s="1094">
        <v>5.15</v>
      </c>
      <c r="B1036" s="1153">
        <v>5.15</v>
      </c>
      <c r="C1036" s="1071">
        <v>4.2699999999999996</v>
      </c>
      <c r="D1036" s="1071">
        <f>B1036*C1036</f>
        <v>21.990500000000001</v>
      </c>
      <c r="E1036" s="1071"/>
      <c r="F1036" s="1071"/>
      <c r="G1036" s="1096">
        <f>D1036</f>
        <v>21.990500000000001</v>
      </c>
      <c r="H1036" s="1005"/>
      <c r="I1036" s="1005"/>
      <c r="J1036" s="1005"/>
      <c r="K1036" s="1005"/>
      <c r="L1036" s="1005"/>
      <c r="M1036" s="1005"/>
    </row>
    <row r="1037" spans="1:13" ht="24">
      <c r="A1037" s="1094">
        <v>4.1500000000000004</v>
      </c>
      <c r="B1037" s="1153">
        <v>4.1500000000000004</v>
      </c>
      <c r="C1037" s="1071">
        <v>2.84</v>
      </c>
      <c r="D1037" s="1071">
        <f>B1037*C1037</f>
        <v>11.786</v>
      </c>
      <c r="E1037" s="1095" t="s">
        <v>851</v>
      </c>
      <c r="F1037" s="1071">
        <f>(1.3*2.1)+(2.3*1.1)</f>
        <v>5.26</v>
      </c>
      <c r="G1037" s="1096">
        <f>D1037-F1037</f>
        <v>6.5259999999999998</v>
      </c>
      <c r="H1037" s="1005"/>
      <c r="I1037" s="1005"/>
      <c r="J1037" s="1005"/>
      <c r="K1037" s="1005"/>
      <c r="L1037" s="1005"/>
      <c r="M1037" s="1005"/>
    </row>
    <row r="1038" spans="1:13">
      <c r="A1038" s="1049" t="s">
        <v>852</v>
      </c>
      <c r="B1038" s="1071">
        <v>7.5</v>
      </c>
      <c r="C1038" s="1071">
        <v>1.78</v>
      </c>
      <c r="D1038" s="1071">
        <f>C1038*B1038</f>
        <v>13.35</v>
      </c>
      <c r="E1038" s="1071"/>
      <c r="F1038" s="1071"/>
      <c r="G1038" s="1096">
        <f>D1038-F1038</f>
        <v>13.35</v>
      </c>
      <c r="H1038" s="1005"/>
      <c r="I1038" s="1005"/>
      <c r="J1038" s="1005"/>
      <c r="K1038" s="1005"/>
      <c r="L1038" s="1005"/>
      <c r="M1038" s="1005"/>
    </row>
    <row r="1039" spans="1:13">
      <c r="A1039" s="1049" t="s">
        <v>853</v>
      </c>
      <c r="B1039" s="1071">
        <v>16.95</v>
      </c>
      <c r="C1039" s="1071">
        <v>1.28</v>
      </c>
      <c r="D1039" s="1071">
        <f>C1039*B1039</f>
        <v>21.695999999999998</v>
      </c>
      <c r="E1039" s="1071"/>
      <c r="F1039" s="1071"/>
      <c r="G1039" s="1096">
        <f>D1039-F1039</f>
        <v>21.695999999999998</v>
      </c>
      <c r="H1039" s="1005"/>
      <c r="I1039" s="1005"/>
      <c r="J1039" s="1005"/>
      <c r="K1039" s="1005"/>
      <c r="L1039" s="1005"/>
      <c r="M1039" s="1005"/>
    </row>
    <row r="1040" spans="1:13" ht="24">
      <c r="A1040" s="1049" t="s">
        <v>854</v>
      </c>
      <c r="B1040" s="1071">
        <f>9.5+9.5+9.5</f>
        <v>28.5</v>
      </c>
      <c r="C1040" s="1071">
        <v>2.2799999999999998</v>
      </c>
      <c r="D1040" s="1071">
        <f>C1040*B1040</f>
        <v>64.97999999999999</v>
      </c>
      <c r="E1040" s="1071"/>
      <c r="F1040" s="1071"/>
      <c r="G1040" s="1096">
        <f>D1040-F1040</f>
        <v>64.97999999999999</v>
      </c>
      <c r="H1040" s="1005"/>
      <c r="I1040" s="1005"/>
      <c r="J1040" s="1005"/>
      <c r="K1040" s="1005"/>
      <c r="L1040" s="1005"/>
      <c r="M1040" s="1005"/>
    </row>
    <row r="1041" spans="1:13">
      <c r="A1041" s="2334"/>
      <c r="B1041" s="2254"/>
      <c r="C1041" s="2254"/>
      <c r="D1041" s="2254"/>
      <c r="E1041" s="2254"/>
      <c r="F1041" s="2254"/>
      <c r="G1041" s="2255"/>
      <c r="H1041" s="1005"/>
      <c r="I1041" s="1005"/>
      <c r="J1041" s="1005"/>
      <c r="K1041" s="1005"/>
      <c r="L1041" s="1005"/>
      <c r="M1041" s="1005"/>
    </row>
    <row r="1042" spans="1:13">
      <c r="A1042" s="2390" t="s">
        <v>2162</v>
      </c>
      <c r="B1042" s="2391"/>
      <c r="C1042" s="2391"/>
      <c r="D1042" s="2391"/>
      <c r="E1042" s="2391"/>
      <c r="F1042" s="2391"/>
      <c r="G1042" s="2392"/>
      <c r="H1042" s="1005"/>
      <c r="I1042" s="1271"/>
      <c r="J1042" s="1005"/>
      <c r="K1042" s="1005"/>
      <c r="L1042" s="1005"/>
      <c r="M1042" s="1005"/>
    </row>
    <row r="1043" spans="1:13">
      <c r="A1043" s="2375"/>
      <c r="B1043" s="2376"/>
      <c r="C1043" s="2381" t="s">
        <v>772</v>
      </c>
      <c r="D1043" s="2382"/>
      <c r="E1043" s="2382"/>
      <c r="F1043" s="2383"/>
      <c r="G1043" s="1096"/>
      <c r="H1043" s="1005"/>
      <c r="I1043" s="1005"/>
      <c r="J1043" s="1005"/>
      <c r="K1043" s="1005"/>
      <c r="L1043" s="1005"/>
      <c r="M1043" s="1005"/>
    </row>
    <row r="1044" spans="1:13">
      <c r="A1044" s="2377"/>
      <c r="B1044" s="2378"/>
      <c r="C1044" s="2384" t="s">
        <v>324</v>
      </c>
      <c r="D1044" s="2385"/>
      <c r="E1044" s="2385"/>
      <c r="F1044" s="2386"/>
      <c r="G1044" s="1159">
        <f>ROUNDUP(G1016+G1017+G1018+G1019+G1020+G1021,2)</f>
        <v>42.71</v>
      </c>
      <c r="H1044" s="1005"/>
      <c r="I1044" s="1005"/>
      <c r="J1044" s="1005"/>
      <c r="K1044" s="1005"/>
      <c r="L1044" s="1005"/>
      <c r="M1044" s="1005"/>
    </row>
    <row r="1045" spans="1:13">
      <c r="A1045" s="2377"/>
      <c r="B1045" s="2378"/>
      <c r="C1045" s="2381" t="s">
        <v>782</v>
      </c>
      <c r="D1045" s="2382"/>
      <c r="E1045" s="2382"/>
      <c r="F1045" s="2383"/>
      <c r="G1045" s="1160"/>
      <c r="H1045" s="1005"/>
      <c r="I1045" s="1005"/>
      <c r="J1045" s="1005"/>
      <c r="K1045" s="1005"/>
      <c r="L1045" s="1005"/>
      <c r="M1045" s="1005"/>
    </row>
    <row r="1046" spans="1:13">
      <c r="A1046" s="2377"/>
      <c r="B1046" s="2378"/>
      <c r="C1046" s="2384" t="s">
        <v>324</v>
      </c>
      <c r="D1046" s="2385"/>
      <c r="E1046" s="2385"/>
      <c r="F1046" s="2386"/>
      <c r="G1046" s="1159">
        <f>ROUNDUP(G1024+G1025+G1026+G1027+G1028+G1029+G1030+G1031,2)</f>
        <v>105.05000000000001</v>
      </c>
      <c r="H1046" s="1005"/>
      <c r="I1046" s="1005"/>
      <c r="J1046" s="1005"/>
      <c r="K1046" s="1005"/>
      <c r="L1046" s="1005"/>
      <c r="M1046" s="1005"/>
    </row>
    <row r="1047" spans="1:13">
      <c r="A1047" s="2377"/>
      <c r="B1047" s="2378"/>
      <c r="C1047" s="2381" t="s">
        <v>800</v>
      </c>
      <c r="D1047" s="2382"/>
      <c r="E1047" s="2382"/>
      <c r="F1047" s="2383"/>
      <c r="G1047" s="1160"/>
      <c r="H1047" s="1005"/>
      <c r="I1047" s="1005"/>
      <c r="J1047" s="1005"/>
      <c r="K1047" s="1005"/>
      <c r="L1047" s="1005"/>
      <c r="M1047" s="1005"/>
    </row>
    <row r="1048" spans="1:13">
      <c r="A1048" s="2379"/>
      <c r="B1048" s="2380"/>
      <c r="C1048" s="2384" t="s">
        <v>324</v>
      </c>
      <c r="D1048" s="2385"/>
      <c r="E1048" s="2385"/>
      <c r="F1048" s="2386"/>
      <c r="G1048" s="1159">
        <f>ROUNDUP(G1034+G1035+G1036+G1037+G1038+G1039+G1040,2)</f>
        <v>288.87</v>
      </c>
      <c r="H1048" s="1005"/>
      <c r="I1048" s="1005"/>
      <c r="J1048" s="1005"/>
      <c r="K1048" s="1005"/>
      <c r="L1048" s="1005"/>
      <c r="M1048" s="1005"/>
    </row>
    <row r="1049" spans="1:13" ht="15.75" thickBot="1">
      <c r="A1049" s="2372" t="s">
        <v>357</v>
      </c>
      <c r="B1049" s="2373"/>
      <c r="C1049" s="2373"/>
      <c r="D1049" s="2373"/>
      <c r="E1049" s="2373"/>
      <c r="F1049" s="2374"/>
      <c r="G1049" s="1180">
        <f>ROUNDUP(G1044+G1046+G1048,2)</f>
        <v>436.63</v>
      </c>
      <c r="H1049" s="1005"/>
      <c r="I1049" s="1005"/>
      <c r="J1049" s="1005"/>
      <c r="K1049" s="1005"/>
      <c r="L1049" s="1005"/>
      <c r="M1049" s="1005"/>
    </row>
    <row r="1050" spans="1:13" ht="15.75" thickBot="1">
      <c r="A1050" s="1138"/>
      <c r="B1050" s="1204"/>
      <c r="C1050" s="1204"/>
      <c r="D1050" s="1204"/>
      <c r="E1050" s="1204"/>
      <c r="F1050" s="1204"/>
      <c r="G1050" s="1205"/>
      <c r="H1050" s="1005"/>
      <c r="I1050" s="1005"/>
      <c r="J1050" s="1005"/>
      <c r="K1050" s="1005"/>
      <c r="L1050" s="1005"/>
      <c r="M1050" s="1005"/>
    </row>
    <row r="1051" spans="1:13" ht="15.75" thickBot="1">
      <c r="A1051" s="1019" t="s">
        <v>632</v>
      </c>
      <c r="B1051" s="2262" t="s">
        <v>2167</v>
      </c>
      <c r="C1051" s="2263"/>
      <c r="D1051" s="2263"/>
      <c r="E1051" s="2263"/>
      <c r="F1051" s="2263"/>
      <c r="G1051" s="2264"/>
      <c r="H1051" s="1005"/>
      <c r="I1051" s="1005"/>
      <c r="J1051" s="1005"/>
      <c r="K1051" s="1005"/>
      <c r="L1051" s="1005"/>
      <c r="M1051" s="1005"/>
    </row>
    <row r="1052" spans="1:13">
      <c r="A1052" s="2304" t="s">
        <v>858</v>
      </c>
      <c r="B1052" s="2305"/>
      <c r="C1052" s="2305"/>
      <c r="D1052" s="2305"/>
      <c r="E1052" s="2305"/>
      <c r="F1052" s="2305"/>
      <c r="G1052" s="2306"/>
      <c r="H1052" s="1005"/>
      <c r="I1052" s="1005"/>
      <c r="J1052" s="1005"/>
      <c r="K1052" s="1005"/>
      <c r="L1052" s="1005"/>
      <c r="M1052" s="1005"/>
    </row>
    <row r="1053" spans="1:13">
      <c r="A1053" s="2268" t="s">
        <v>407</v>
      </c>
      <c r="B1053" s="2269"/>
      <c r="C1053" s="2269"/>
      <c r="D1053" s="2269"/>
      <c r="E1053" s="2269"/>
      <c r="F1053" s="2269"/>
      <c r="G1053" s="2270"/>
      <c r="H1053" s="1005"/>
      <c r="I1053" s="1005"/>
      <c r="J1053" s="1005"/>
      <c r="K1053" s="1005"/>
      <c r="L1053" s="1005"/>
      <c r="M1053" s="1005"/>
    </row>
    <row r="1054" spans="1:13">
      <c r="A1054" s="2271" t="s">
        <v>408</v>
      </c>
      <c r="B1054" s="2272"/>
      <c r="C1054" s="1035" t="s">
        <v>339</v>
      </c>
      <c r="D1054" s="1035" t="s">
        <v>322</v>
      </c>
      <c r="E1054" s="2273" t="s">
        <v>323</v>
      </c>
      <c r="F1054" s="2274"/>
      <c r="G1054" s="2275"/>
      <c r="H1054" s="1005"/>
      <c r="I1054" s="1005"/>
      <c r="J1054" s="1005"/>
      <c r="K1054" s="1005"/>
      <c r="L1054" s="1005"/>
      <c r="M1054" s="1005"/>
    </row>
    <row r="1055" spans="1:13">
      <c r="A1055" s="2355" t="s">
        <v>745</v>
      </c>
      <c r="B1055" s="2356"/>
      <c r="C1055" s="1132">
        <v>36.450000000000003</v>
      </c>
      <c r="D1055" s="1133">
        <v>33.979999999999997</v>
      </c>
      <c r="E1055" s="2310"/>
      <c r="F1055" s="2311"/>
      <c r="G1055" s="2312"/>
      <c r="H1055" s="1005"/>
      <c r="I1055" s="1005"/>
      <c r="J1055" s="1005"/>
      <c r="K1055" s="1005"/>
      <c r="L1055" s="1005"/>
      <c r="M1055" s="1005"/>
    </row>
    <row r="1056" spans="1:13">
      <c r="A1056" s="2355" t="s">
        <v>930</v>
      </c>
      <c r="B1056" s="2356"/>
      <c r="C1056" s="1132">
        <f>36.45+0.8+0.8</f>
        <v>38.049999999999997</v>
      </c>
      <c r="D1056" s="1133">
        <f>38.05*0.2</f>
        <v>7.6099999999999994</v>
      </c>
      <c r="E1056" s="2366"/>
      <c r="F1056" s="2367"/>
      <c r="G1056" s="2368"/>
      <c r="H1056" s="1005"/>
      <c r="I1056" s="1316">
        <f>36.45+38.05</f>
        <v>74.5</v>
      </c>
      <c r="J1056" s="1317" t="s">
        <v>1556</v>
      </c>
      <c r="K1056" s="1005"/>
      <c r="L1056" s="1005"/>
      <c r="M1056" s="1005"/>
    </row>
    <row r="1057" spans="1:13" ht="15.75" thickBot="1">
      <c r="A1057" s="1134"/>
      <c r="B1057" s="1135"/>
      <c r="C1057" s="1136" t="s">
        <v>324</v>
      </c>
      <c r="D1057" s="1137">
        <f>SUM(D1055:D1056)</f>
        <v>41.589999999999996</v>
      </c>
      <c r="E1057" s="2369"/>
      <c r="F1057" s="2370"/>
      <c r="G1057" s="2371"/>
      <c r="H1057" s="1005"/>
      <c r="I1057" s="1005"/>
      <c r="J1057" s="1005"/>
      <c r="K1057" s="1005"/>
      <c r="L1057" s="1005"/>
      <c r="M1057" s="1005"/>
    </row>
    <row r="1058" spans="1:13" ht="15.75" thickBot="1">
      <c r="A1058" s="1206"/>
      <c r="B1058" s="1087"/>
      <c r="C1058" s="1063"/>
      <c r="D1058" s="1063"/>
      <c r="E1058" s="1087"/>
      <c r="F1058" s="1087"/>
      <c r="G1058" s="1088"/>
      <c r="H1058" s="1005"/>
      <c r="I1058" s="1005"/>
      <c r="J1058" s="1005"/>
      <c r="K1058" s="1005"/>
      <c r="L1058" s="1005"/>
      <c r="M1058" s="1005"/>
    </row>
    <row r="1059" spans="1:13" ht="15.75" thickBot="1">
      <c r="A1059" s="1019" t="s">
        <v>633</v>
      </c>
      <c r="B1059" s="2262" t="s">
        <v>935</v>
      </c>
      <c r="C1059" s="2263"/>
      <c r="D1059" s="2263"/>
      <c r="E1059" s="2263"/>
      <c r="F1059" s="2263"/>
      <c r="G1059" s="2264"/>
      <c r="H1059" s="1005"/>
      <c r="I1059" s="1005"/>
      <c r="J1059" s="1005"/>
      <c r="K1059" s="1005"/>
      <c r="L1059" s="1005"/>
      <c r="M1059" s="1005"/>
    </row>
    <row r="1060" spans="1:13">
      <c r="A1060" s="2304" t="s">
        <v>858</v>
      </c>
      <c r="B1060" s="2305"/>
      <c r="C1060" s="2305"/>
      <c r="D1060" s="2305"/>
      <c r="E1060" s="2305"/>
      <c r="F1060" s="2305"/>
      <c r="G1060" s="2306"/>
      <c r="H1060" s="1005"/>
      <c r="I1060" s="1005"/>
      <c r="J1060" s="1005"/>
      <c r="K1060" s="1005"/>
      <c r="L1060" s="1005"/>
      <c r="M1060" s="1005"/>
    </row>
    <row r="1061" spans="1:13">
      <c r="A1061" s="2268" t="s">
        <v>407</v>
      </c>
      <c r="B1061" s="2269"/>
      <c r="C1061" s="2269"/>
      <c r="D1061" s="2269"/>
      <c r="E1061" s="2269"/>
      <c r="F1061" s="2269"/>
      <c r="G1061" s="2270"/>
      <c r="H1061" s="1005"/>
      <c r="I1061" s="1005"/>
      <c r="J1061" s="1005"/>
      <c r="K1061" s="1005"/>
      <c r="L1061" s="1005"/>
      <c r="M1061" s="1005"/>
    </row>
    <row r="1062" spans="1:13">
      <c r="A1062" s="2271" t="s">
        <v>408</v>
      </c>
      <c r="B1062" s="2272"/>
      <c r="C1062" s="1035" t="s">
        <v>936</v>
      </c>
      <c r="D1062" s="1035" t="s">
        <v>322</v>
      </c>
      <c r="E1062" s="2273" t="s">
        <v>323</v>
      </c>
      <c r="F1062" s="2274"/>
      <c r="G1062" s="2275"/>
      <c r="H1062" s="1005"/>
      <c r="I1062" s="1005"/>
      <c r="J1062" s="1005"/>
      <c r="K1062" s="1005"/>
      <c r="L1062" s="1005"/>
      <c r="M1062" s="1005"/>
    </row>
    <row r="1063" spans="1:13">
      <c r="A1063" s="2355" t="s">
        <v>753</v>
      </c>
      <c r="B1063" s="2356"/>
      <c r="C1063" s="1156" t="s">
        <v>937</v>
      </c>
      <c r="D1063" s="1133">
        <f>(1.6*2.1)*4</f>
        <v>13.440000000000001</v>
      </c>
      <c r="E1063" s="2357" t="s">
        <v>938</v>
      </c>
      <c r="F1063" s="2358"/>
      <c r="G1063" s="2359"/>
      <c r="H1063" s="1005"/>
      <c r="I1063" s="1005"/>
      <c r="J1063" s="1005"/>
      <c r="K1063" s="1005"/>
      <c r="L1063" s="1005"/>
      <c r="M1063" s="1005"/>
    </row>
    <row r="1064" spans="1:13" ht="15.75" thickBot="1">
      <c r="A1064" s="1134"/>
      <c r="B1064" s="1135"/>
      <c r="C1064" s="1136" t="s">
        <v>324</v>
      </c>
      <c r="D1064" s="1137">
        <f>SUM(D1063:D1063)</f>
        <v>13.440000000000001</v>
      </c>
      <c r="E1064" s="2363"/>
      <c r="F1064" s="2364"/>
      <c r="G1064" s="2365"/>
      <c r="H1064" s="1005"/>
      <c r="I1064" s="1005"/>
      <c r="J1064" s="1005"/>
      <c r="K1064" s="1005"/>
      <c r="L1064" s="1005"/>
      <c r="M1064" s="1005"/>
    </row>
    <row r="1065" spans="1:13" ht="15.75" thickBot="1">
      <c r="A1065" s="1206"/>
      <c r="B1065" s="1087"/>
      <c r="C1065" s="1063"/>
      <c r="D1065" s="1063"/>
      <c r="E1065" s="1087"/>
      <c r="F1065" s="1087"/>
      <c r="G1065" s="1088"/>
      <c r="H1065" s="1005"/>
      <c r="I1065" s="1005"/>
      <c r="J1065" s="1005"/>
      <c r="K1065" s="1005"/>
      <c r="L1065" s="1005"/>
      <c r="M1065" s="1005"/>
    </row>
    <row r="1066" spans="1:13" ht="15.75" thickBot="1">
      <c r="A1066" s="1019" t="s">
        <v>634</v>
      </c>
      <c r="B1066" s="2262" t="s">
        <v>939</v>
      </c>
      <c r="C1066" s="2263"/>
      <c r="D1066" s="2263"/>
      <c r="E1066" s="2263"/>
      <c r="F1066" s="2263"/>
      <c r="G1066" s="2264"/>
      <c r="H1066" s="1005"/>
      <c r="I1066" s="1005"/>
      <c r="J1066" s="1005"/>
      <c r="K1066" s="1005"/>
      <c r="L1066" s="1005"/>
      <c r="M1066" s="1005"/>
    </row>
    <row r="1067" spans="1:13">
      <c r="A1067" s="2304" t="s">
        <v>858</v>
      </c>
      <c r="B1067" s="2305"/>
      <c r="C1067" s="2305"/>
      <c r="D1067" s="2305"/>
      <c r="E1067" s="2305"/>
      <c r="F1067" s="2305"/>
      <c r="G1067" s="2306"/>
      <c r="H1067" s="1005"/>
      <c r="I1067" s="1005"/>
      <c r="J1067" s="1005"/>
      <c r="K1067" s="1005"/>
      <c r="L1067" s="1005"/>
      <c r="M1067" s="1005"/>
    </row>
    <row r="1068" spans="1:13">
      <c r="A1068" s="2268" t="s">
        <v>407</v>
      </c>
      <c r="B1068" s="2269"/>
      <c r="C1068" s="2269"/>
      <c r="D1068" s="2269"/>
      <c r="E1068" s="2269"/>
      <c r="F1068" s="2269"/>
      <c r="G1068" s="2270"/>
      <c r="H1068" s="1005"/>
      <c r="I1068" s="1005"/>
      <c r="J1068" s="1005"/>
      <c r="K1068" s="1005"/>
      <c r="L1068" s="1005"/>
      <c r="M1068" s="1005"/>
    </row>
    <row r="1069" spans="1:13">
      <c r="A1069" s="2271" t="s">
        <v>408</v>
      </c>
      <c r="B1069" s="2272"/>
      <c r="C1069" s="1035" t="s">
        <v>936</v>
      </c>
      <c r="D1069" s="1035" t="s">
        <v>322</v>
      </c>
      <c r="E1069" s="2273" t="s">
        <v>323</v>
      </c>
      <c r="F1069" s="2274"/>
      <c r="G1069" s="2275"/>
      <c r="H1069" s="1005"/>
      <c r="I1069" s="1005"/>
      <c r="J1069" s="1005"/>
      <c r="K1069" s="1005"/>
      <c r="L1069" s="1005"/>
      <c r="M1069" s="1005"/>
    </row>
    <row r="1070" spans="1:13">
      <c r="A1070" s="2355" t="s">
        <v>382</v>
      </c>
      <c r="B1070" s="2356"/>
      <c r="C1070" s="1156" t="s">
        <v>940</v>
      </c>
      <c r="D1070" s="1133">
        <f>(1.3*2.1)*2</f>
        <v>5.4600000000000009</v>
      </c>
      <c r="E1070" s="2357" t="s">
        <v>941</v>
      </c>
      <c r="F1070" s="2358"/>
      <c r="G1070" s="2359"/>
      <c r="H1070" s="1005"/>
      <c r="I1070" s="1005"/>
      <c r="J1070" s="1005"/>
      <c r="K1070" s="1005"/>
      <c r="L1070" s="1005"/>
      <c r="M1070" s="1005"/>
    </row>
    <row r="1071" spans="1:13">
      <c r="A1071" s="2355" t="s">
        <v>383</v>
      </c>
      <c r="B1071" s="2356"/>
      <c r="C1071" s="1156" t="s">
        <v>942</v>
      </c>
      <c r="D1071" s="1133">
        <f>(0.8*2.1)*3*2</f>
        <v>10.080000000000002</v>
      </c>
      <c r="E1071" s="2360"/>
      <c r="F1071" s="2361"/>
      <c r="G1071" s="2362"/>
      <c r="H1071" s="1005"/>
      <c r="I1071" s="1005"/>
      <c r="J1071" s="1005"/>
      <c r="K1071" s="1005"/>
      <c r="L1071" s="1005"/>
      <c r="M1071" s="1005"/>
    </row>
    <row r="1072" spans="1:13">
      <c r="A1072" s="2355" t="s">
        <v>384</v>
      </c>
      <c r="B1072" s="2356"/>
      <c r="C1072" s="1156" t="s">
        <v>943</v>
      </c>
      <c r="D1072" s="1133">
        <f>(1*2.1)*2</f>
        <v>4.2</v>
      </c>
      <c r="E1072" s="2360"/>
      <c r="F1072" s="2361"/>
      <c r="G1072" s="2362"/>
      <c r="H1072" s="1005"/>
      <c r="I1072" s="1005"/>
      <c r="J1072" s="1005"/>
      <c r="K1072" s="1005"/>
      <c r="L1072" s="1005"/>
      <c r="M1072" s="1005"/>
    </row>
    <row r="1073" spans="1:13">
      <c r="A1073" s="2355" t="s">
        <v>750</v>
      </c>
      <c r="B1073" s="2356"/>
      <c r="C1073" s="1156" t="s">
        <v>944</v>
      </c>
      <c r="D1073" s="1133">
        <f>(0.8*2.1)*2</f>
        <v>3.3600000000000003</v>
      </c>
      <c r="E1073" s="2360"/>
      <c r="F1073" s="2361"/>
      <c r="G1073" s="2362"/>
      <c r="H1073" s="1005"/>
      <c r="I1073" s="1005"/>
      <c r="J1073" s="1005"/>
      <c r="K1073" s="1005"/>
      <c r="L1073" s="1005"/>
      <c r="M1073" s="1005"/>
    </row>
    <row r="1074" spans="1:13" ht="15.75" thickBot="1">
      <c r="A1074" s="1134"/>
      <c r="B1074" s="1135"/>
      <c r="C1074" s="1136" t="s">
        <v>324</v>
      </c>
      <c r="D1074" s="1207">
        <f>SUM(D1070:D1073)</f>
        <v>23.1</v>
      </c>
      <c r="E1074" s="2363"/>
      <c r="F1074" s="2364"/>
      <c r="G1074" s="2365"/>
      <c r="H1074" s="1005"/>
      <c r="I1074" s="1005"/>
      <c r="J1074" s="1005"/>
      <c r="K1074" s="1005"/>
      <c r="L1074" s="1005"/>
      <c r="M1074" s="1005"/>
    </row>
    <row r="1075" spans="1:13" ht="15.75" thickBot="1">
      <c r="A1075" s="1206"/>
      <c r="B1075" s="1087"/>
      <c r="C1075" s="1063"/>
      <c r="D1075" s="1063"/>
      <c r="E1075" s="1087"/>
      <c r="F1075" s="1087"/>
      <c r="G1075" s="1088"/>
      <c r="H1075" s="1005"/>
      <c r="I1075" s="1005"/>
      <c r="J1075" s="1005"/>
      <c r="K1075" s="1005"/>
      <c r="L1075" s="1005"/>
      <c r="M1075" s="1005"/>
    </row>
    <row r="1076" spans="1:13" ht="15.75" thickBot="1">
      <c r="A1076" s="1019">
        <v>14</v>
      </c>
      <c r="B1076" s="2262" t="s">
        <v>945</v>
      </c>
      <c r="C1076" s="2263"/>
      <c r="D1076" s="2263"/>
      <c r="E1076" s="2263"/>
      <c r="F1076" s="2263"/>
      <c r="G1076" s="2264"/>
      <c r="H1076" s="1005"/>
      <c r="I1076" s="1005"/>
      <c r="J1076" s="1005"/>
      <c r="K1076" s="1005"/>
      <c r="L1076" s="1005"/>
      <c r="M1076" s="1005"/>
    </row>
    <row r="1077" spans="1:13" ht="15.75" thickBot="1">
      <c r="A1077" s="1019" t="s">
        <v>93</v>
      </c>
      <c r="B1077" s="2262" t="s">
        <v>946</v>
      </c>
      <c r="C1077" s="2263"/>
      <c r="D1077" s="2263"/>
      <c r="E1077" s="2263"/>
      <c r="F1077" s="2263"/>
      <c r="G1077" s="2264"/>
      <c r="H1077" s="1005"/>
      <c r="I1077" s="1005"/>
      <c r="J1077" s="1005"/>
      <c r="K1077" s="1005"/>
      <c r="L1077" s="1005"/>
      <c r="M1077" s="1005"/>
    </row>
    <row r="1078" spans="1:13" ht="15.75" thickBot="1">
      <c r="A1078" s="1019" t="s">
        <v>647</v>
      </c>
      <c r="B1078" s="2262" t="s">
        <v>947</v>
      </c>
      <c r="C1078" s="2263"/>
      <c r="D1078" s="2263"/>
      <c r="E1078" s="2263"/>
      <c r="F1078" s="2263"/>
      <c r="G1078" s="2264"/>
      <c r="H1078" s="1005"/>
      <c r="I1078" s="1005"/>
      <c r="J1078" s="1005"/>
      <c r="K1078" s="1005"/>
      <c r="L1078" s="1005"/>
      <c r="M1078" s="1005"/>
    </row>
    <row r="1079" spans="1:13">
      <c r="A1079" s="2281" t="s">
        <v>320</v>
      </c>
      <c r="B1079" s="2282"/>
      <c r="C1079" s="2282"/>
      <c r="D1079" s="2282"/>
      <c r="E1079" s="2282"/>
      <c r="F1079" s="2282"/>
      <c r="G1079" s="2283"/>
      <c r="H1079" s="1005"/>
      <c r="I1079" s="1005"/>
      <c r="J1079" s="1005"/>
      <c r="K1079" s="1005"/>
      <c r="L1079" s="1005"/>
      <c r="M1079" s="1005"/>
    </row>
    <row r="1080" spans="1:13">
      <c r="A1080" s="2268" t="s">
        <v>948</v>
      </c>
      <c r="B1080" s="2269"/>
      <c r="C1080" s="2269"/>
      <c r="D1080" s="2269"/>
      <c r="E1080" s="2269"/>
      <c r="F1080" s="2269"/>
      <c r="G1080" s="2270"/>
      <c r="H1080" s="1005"/>
      <c r="I1080" s="1005"/>
      <c r="J1080" s="1005"/>
      <c r="K1080" s="1005"/>
      <c r="L1080" s="1005"/>
      <c r="M1080" s="1005"/>
    </row>
    <row r="1081" spans="1:13">
      <c r="A1081" s="1208" t="s">
        <v>949</v>
      </c>
      <c r="B1081" s="1209" t="s">
        <v>950</v>
      </c>
      <c r="C1081" s="2349"/>
      <c r="D1081" s="2350"/>
      <c r="E1081" s="2350"/>
      <c r="F1081" s="2350"/>
      <c r="G1081" s="2351"/>
      <c r="H1081" s="1005"/>
      <c r="I1081" s="1005"/>
      <c r="J1081" s="1005"/>
      <c r="K1081" s="1005"/>
      <c r="L1081" s="1005"/>
      <c r="M1081" s="1005"/>
    </row>
    <row r="1082" spans="1:13">
      <c r="A1082" s="1210" t="s">
        <v>869</v>
      </c>
      <c r="B1082" s="1211">
        <v>2</v>
      </c>
      <c r="C1082" s="2318"/>
      <c r="D1082" s="2319"/>
      <c r="E1082" s="2319"/>
      <c r="F1082" s="2319"/>
      <c r="G1082" s="2320"/>
      <c r="H1082" s="1005"/>
      <c r="I1082" s="1005"/>
      <c r="J1082" s="1005"/>
      <c r="K1082" s="1005"/>
      <c r="L1082" s="1005"/>
      <c r="M1082" s="1005"/>
    </row>
    <row r="1083" spans="1:13">
      <c r="A1083" s="1210" t="s">
        <v>867</v>
      </c>
      <c r="B1083" s="1211">
        <v>2</v>
      </c>
      <c r="C1083" s="2352"/>
      <c r="D1083" s="2353"/>
      <c r="E1083" s="2353"/>
      <c r="F1083" s="2353"/>
      <c r="G1083" s="2354"/>
      <c r="H1083" s="1005"/>
      <c r="I1083" s="1005"/>
      <c r="J1083" s="1005"/>
      <c r="K1083" s="1005"/>
      <c r="L1083" s="1005"/>
      <c r="M1083" s="1005"/>
    </row>
    <row r="1084" spans="1:13" ht="15.75" thickBot="1">
      <c r="A1084" s="1212" t="s">
        <v>324</v>
      </c>
      <c r="B1084" s="1029">
        <f>ROUNDUP(SUM(B1082:B1083),2)</f>
        <v>4</v>
      </c>
      <c r="C1084" s="2321"/>
      <c r="D1084" s="2322"/>
      <c r="E1084" s="2322"/>
      <c r="F1084" s="2322"/>
      <c r="G1084" s="2323"/>
      <c r="H1084" s="1005"/>
      <c r="I1084" s="1005"/>
      <c r="J1084" s="1005"/>
      <c r="K1084" s="1005"/>
      <c r="L1084" s="1005"/>
      <c r="M1084" s="1005"/>
    </row>
    <row r="1085" spans="1:13" ht="15.75" thickBot="1">
      <c r="A1085" s="1006"/>
      <c r="B1085" s="1007"/>
      <c r="C1085" s="1007"/>
      <c r="D1085" s="1007"/>
      <c r="E1085" s="1007"/>
      <c r="F1085" s="1007"/>
      <c r="G1085" s="1008"/>
      <c r="H1085" s="1005"/>
      <c r="I1085" s="1005"/>
      <c r="J1085" s="1005"/>
      <c r="K1085" s="1005"/>
      <c r="L1085" s="1005"/>
      <c r="M1085" s="1005"/>
    </row>
    <row r="1086" spans="1:13" ht="15.75" thickBot="1">
      <c r="A1086" s="1019" t="s">
        <v>94</v>
      </c>
      <c r="B1086" s="2262" t="s">
        <v>951</v>
      </c>
      <c r="C1086" s="2263"/>
      <c r="D1086" s="2263"/>
      <c r="E1086" s="2263"/>
      <c r="F1086" s="2263"/>
      <c r="G1086" s="2264"/>
      <c r="H1086" s="1005"/>
      <c r="I1086" s="1005"/>
      <c r="J1086" s="1005"/>
      <c r="K1086" s="1005"/>
      <c r="L1086" s="1005"/>
      <c r="M1086" s="1005"/>
    </row>
    <row r="1087" spans="1:13">
      <c r="A1087" s="2281" t="s">
        <v>320</v>
      </c>
      <c r="B1087" s="2282"/>
      <c r="C1087" s="2282"/>
      <c r="D1087" s="2282"/>
      <c r="E1087" s="2282"/>
      <c r="F1087" s="2282"/>
      <c r="G1087" s="2283"/>
      <c r="H1087" s="1005"/>
      <c r="I1087" s="1005"/>
      <c r="J1087" s="1005"/>
      <c r="K1087" s="1005"/>
      <c r="L1087" s="1005"/>
      <c r="M1087" s="1005"/>
    </row>
    <row r="1088" spans="1:13">
      <c r="A1088" s="2268" t="s">
        <v>948</v>
      </c>
      <c r="B1088" s="2269"/>
      <c r="C1088" s="2269"/>
      <c r="D1088" s="2269"/>
      <c r="E1088" s="2269"/>
      <c r="F1088" s="2269"/>
      <c r="G1088" s="2270"/>
      <c r="H1088" s="1005"/>
      <c r="I1088" s="1005"/>
      <c r="J1088" s="1005"/>
      <c r="K1088" s="1005"/>
      <c r="L1088" s="1005"/>
      <c r="M1088" s="1005"/>
    </row>
    <row r="1089" spans="1:13">
      <c r="A1089" s="1208" t="s">
        <v>949</v>
      </c>
      <c r="B1089" s="1209" t="s">
        <v>950</v>
      </c>
      <c r="C1089" s="2349"/>
      <c r="D1089" s="2350"/>
      <c r="E1089" s="2350"/>
      <c r="F1089" s="2350"/>
      <c r="G1089" s="2351"/>
      <c r="H1089" s="1005"/>
      <c r="I1089" s="1005"/>
      <c r="J1089" s="1005"/>
      <c r="K1089" s="1005"/>
      <c r="L1089" s="1005"/>
      <c r="M1089" s="1005"/>
    </row>
    <row r="1090" spans="1:13">
      <c r="A1090" s="1210" t="s">
        <v>952</v>
      </c>
      <c r="B1090" s="1211">
        <v>1</v>
      </c>
      <c r="C1090" s="1213"/>
      <c r="D1090" s="1214"/>
      <c r="E1090" s="1214"/>
      <c r="F1090" s="1214"/>
      <c r="G1090" s="1215"/>
      <c r="H1090" s="1005"/>
      <c r="I1090" s="1005"/>
      <c r="J1090" s="1005"/>
      <c r="K1090" s="1005"/>
      <c r="L1090" s="1005"/>
      <c r="M1090" s="1005"/>
    </row>
    <row r="1091" spans="1:13">
      <c r="A1091" s="1210" t="s">
        <v>953</v>
      </c>
      <c r="B1091" s="1211">
        <v>1</v>
      </c>
      <c r="C1091" s="1213"/>
      <c r="D1091" s="1214"/>
      <c r="E1091" s="1214"/>
      <c r="F1091" s="1214"/>
      <c r="G1091" s="1215"/>
      <c r="H1091" s="1005"/>
      <c r="I1091" s="1005"/>
      <c r="J1091" s="1005"/>
      <c r="K1091" s="1005"/>
      <c r="L1091" s="1005"/>
      <c r="M1091" s="1005"/>
    </row>
    <row r="1092" spans="1:13" ht="15.75" thickBot="1">
      <c r="A1092" s="1212" t="s">
        <v>324</v>
      </c>
      <c r="B1092" s="1029">
        <f>ROUNDUP(SUM(B1090:B1091),2)</f>
        <v>2</v>
      </c>
      <c r="C1092" s="2321"/>
      <c r="D1092" s="2322"/>
      <c r="E1092" s="2322"/>
      <c r="F1092" s="2322"/>
      <c r="G1092" s="2323"/>
      <c r="H1092" s="1005"/>
      <c r="I1092" s="1005"/>
      <c r="J1092" s="1005"/>
      <c r="K1092" s="1005"/>
      <c r="L1092" s="1005"/>
      <c r="M1092" s="1005"/>
    </row>
    <row r="1093" spans="1:13" ht="15.75" thickBot="1">
      <c r="A1093" s="1006"/>
      <c r="B1093" s="1007"/>
      <c r="C1093" s="1007"/>
      <c r="D1093" s="1007"/>
      <c r="E1093" s="1007"/>
      <c r="F1093" s="1007"/>
      <c r="G1093" s="1008"/>
      <c r="H1093" s="1005"/>
      <c r="I1093" s="1005"/>
      <c r="J1093" s="1005"/>
      <c r="K1093" s="1005"/>
      <c r="L1093" s="1005"/>
      <c r="M1093" s="1005"/>
    </row>
    <row r="1094" spans="1:13" ht="15.75" thickBot="1">
      <c r="A1094" s="1019" t="s">
        <v>954</v>
      </c>
      <c r="B1094" s="2262" t="s">
        <v>955</v>
      </c>
      <c r="C1094" s="2263"/>
      <c r="D1094" s="2263"/>
      <c r="E1094" s="2263"/>
      <c r="F1094" s="2263"/>
      <c r="G1094" s="2264"/>
      <c r="H1094" s="1005"/>
      <c r="I1094" s="1005"/>
      <c r="J1094" s="1005"/>
      <c r="K1094" s="1005"/>
      <c r="L1094" s="1005"/>
      <c r="M1094" s="1005"/>
    </row>
    <row r="1095" spans="1:13">
      <c r="A1095" s="2281" t="s">
        <v>320</v>
      </c>
      <c r="B1095" s="2282"/>
      <c r="C1095" s="2282"/>
      <c r="D1095" s="2282"/>
      <c r="E1095" s="2282"/>
      <c r="F1095" s="2282"/>
      <c r="G1095" s="2283"/>
      <c r="H1095" s="1005"/>
      <c r="I1095" s="1005"/>
      <c r="J1095" s="1005"/>
      <c r="K1095" s="1005"/>
      <c r="L1095" s="1005"/>
      <c r="M1095" s="1005"/>
    </row>
    <row r="1096" spans="1:13">
      <c r="A1096" s="2268" t="s">
        <v>948</v>
      </c>
      <c r="B1096" s="2269"/>
      <c r="C1096" s="2269"/>
      <c r="D1096" s="2269"/>
      <c r="E1096" s="2269"/>
      <c r="F1096" s="2269"/>
      <c r="G1096" s="2270"/>
      <c r="H1096" s="1005"/>
      <c r="I1096" s="1005"/>
      <c r="J1096" s="1005"/>
      <c r="K1096" s="1005"/>
      <c r="L1096" s="1005"/>
      <c r="M1096" s="1005"/>
    </row>
    <row r="1097" spans="1:13">
      <c r="A1097" s="1208" t="s">
        <v>949</v>
      </c>
      <c r="B1097" s="1209" t="s">
        <v>950</v>
      </c>
      <c r="C1097" s="2349"/>
      <c r="D1097" s="2350"/>
      <c r="E1097" s="2350"/>
      <c r="F1097" s="2350"/>
      <c r="G1097" s="2351"/>
      <c r="H1097" s="1005"/>
      <c r="I1097" s="1005"/>
      <c r="J1097" s="1005"/>
      <c r="K1097" s="1005"/>
      <c r="L1097" s="1005"/>
      <c r="M1097" s="1005"/>
    </row>
    <row r="1098" spans="1:13">
      <c r="A1098" s="1210" t="s">
        <v>956</v>
      </c>
      <c r="B1098" s="1211">
        <v>1</v>
      </c>
      <c r="C1098" s="2318"/>
      <c r="D1098" s="2319"/>
      <c r="E1098" s="2319"/>
      <c r="F1098" s="2319"/>
      <c r="G1098" s="2320"/>
      <c r="H1098" s="1005"/>
      <c r="I1098" s="1005"/>
      <c r="J1098" s="1005"/>
      <c r="K1098" s="1005"/>
      <c r="L1098" s="1005"/>
      <c r="M1098" s="1005"/>
    </row>
    <row r="1099" spans="1:13">
      <c r="A1099" s="1210" t="s">
        <v>957</v>
      </c>
      <c r="B1099" s="1211">
        <v>1</v>
      </c>
      <c r="C1099" s="2298"/>
      <c r="D1099" s="2342"/>
      <c r="E1099" s="2342"/>
      <c r="F1099" s="2342"/>
      <c r="G1099" s="2299"/>
      <c r="H1099" s="1005"/>
      <c r="I1099" s="1005"/>
      <c r="J1099" s="1005"/>
      <c r="K1099" s="1005"/>
      <c r="L1099" s="1005"/>
      <c r="M1099" s="1005"/>
    </row>
    <row r="1100" spans="1:13" ht="24">
      <c r="A1100" s="1278" t="s">
        <v>958</v>
      </c>
      <c r="B1100" s="1211">
        <v>1</v>
      </c>
      <c r="C1100" s="2298"/>
      <c r="D1100" s="2342"/>
      <c r="E1100" s="2342"/>
      <c r="F1100" s="2342"/>
      <c r="G1100" s="2299"/>
      <c r="H1100" s="1005"/>
      <c r="I1100" s="1005"/>
      <c r="J1100" s="1005"/>
      <c r="K1100" s="1005"/>
      <c r="L1100" s="1005"/>
      <c r="M1100" s="1005"/>
    </row>
    <row r="1101" spans="1:13" ht="24">
      <c r="A1101" s="1278" t="s">
        <v>959</v>
      </c>
      <c r="B1101" s="1211">
        <v>1</v>
      </c>
      <c r="C1101" s="2298"/>
      <c r="D1101" s="2342"/>
      <c r="E1101" s="2342"/>
      <c r="F1101" s="2342"/>
      <c r="G1101" s="2299"/>
      <c r="H1101" s="1005"/>
      <c r="I1101" s="1005"/>
      <c r="J1101" s="1005"/>
      <c r="K1101" s="1005"/>
      <c r="L1101" s="1005"/>
      <c r="M1101" s="1005"/>
    </row>
    <row r="1102" spans="1:13" ht="15.75" thickBot="1">
      <c r="A1102" s="1212" t="s">
        <v>324</v>
      </c>
      <c r="B1102" s="1029">
        <f>ROUNDUP(SUM(B1098:B1101),2)</f>
        <v>4</v>
      </c>
      <c r="C1102" s="2321"/>
      <c r="D1102" s="2322"/>
      <c r="E1102" s="2322"/>
      <c r="F1102" s="2322"/>
      <c r="G1102" s="2323"/>
      <c r="H1102" s="1005"/>
      <c r="I1102" s="1005"/>
      <c r="J1102" s="1005"/>
      <c r="K1102" s="1005"/>
      <c r="L1102" s="1005"/>
      <c r="M1102" s="1005"/>
    </row>
    <row r="1103" spans="1:13" ht="15.75" thickBot="1">
      <c r="A1103" s="1006"/>
      <c r="B1103" s="1007"/>
      <c r="C1103" s="1007"/>
      <c r="D1103" s="1007"/>
      <c r="E1103" s="1007"/>
      <c r="F1103" s="1007"/>
      <c r="G1103" s="1008"/>
      <c r="H1103" s="1005"/>
      <c r="I1103" s="1005"/>
      <c r="J1103" s="1005"/>
      <c r="K1103" s="1005"/>
      <c r="L1103" s="1005"/>
      <c r="M1103" s="1005"/>
    </row>
    <row r="1104" spans="1:13" ht="15.75" thickBot="1">
      <c r="A1104" s="1019" t="s">
        <v>960</v>
      </c>
      <c r="B1104" s="2262" t="s">
        <v>961</v>
      </c>
      <c r="C1104" s="2263"/>
      <c r="D1104" s="2263"/>
      <c r="E1104" s="2263"/>
      <c r="F1104" s="2263"/>
      <c r="G1104" s="2264"/>
      <c r="H1104" s="1005"/>
      <c r="I1104" s="1005"/>
      <c r="J1104" s="1005"/>
      <c r="K1104" s="1005"/>
      <c r="L1104" s="1005"/>
      <c r="M1104" s="1005"/>
    </row>
    <row r="1105" spans="1:13">
      <c r="A1105" s="2281" t="s">
        <v>320</v>
      </c>
      <c r="B1105" s="2282"/>
      <c r="C1105" s="2282"/>
      <c r="D1105" s="2282"/>
      <c r="E1105" s="2282"/>
      <c r="F1105" s="2282"/>
      <c r="G1105" s="2283"/>
      <c r="H1105" s="1005"/>
      <c r="I1105" s="1005"/>
      <c r="J1105" s="1005"/>
      <c r="K1105" s="1005"/>
      <c r="L1105" s="1005"/>
      <c r="M1105" s="1005"/>
    </row>
    <row r="1106" spans="1:13">
      <c r="A1106" s="2268" t="s">
        <v>948</v>
      </c>
      <c r="B1106" s="2269"/>
      <c r="C1106" s="2269"/>
      <c r="D1106" s="2269"/>
      <c r="E1106" s="2269"/>
      <c r="F1106" s="2269"/>
      <c r="G1106" s="2270"/>
      <c r="H1106" s="1005"/>
      <c r="I1106" s="1005"/>
      <c r="J1106" s="1005"/>
      <c r="K1106" s="1005"/>
      <c r="L1106" s="1005"/>
      <c r="M1106" s="1005"/>
    </row>
    <row r="1107" spans="1:13">
      <c r="A1107" s="1208" t="s">
        <v>949</v>
      </c>
      <c r="B1107" s="1209" t="s">
        <v>950</v>
      </c>
      <c r="C1107" s="2349"/>
      <c r="D1107" s="2350"/>
      <c r="E1107" s="2350"/>
      <c r="F1107" s="2350"/>
      <c r="G1107" s="2351"/>
      <c r="H1107" s="1005"/>
      <c r="I1107" s="1005"/>
      <c r="J1107" s="1005"/>
      <c r="K1107" s="1005"/>
      <c r="L1107" s="1005"/>
      <c r="M1107" s="1005"/>
    </row>
    <row r="1108" spans="1:13">
      <c r="A1108" s="1210" t="s">
        <v>869</v>
      </c>
      <c r="B1108" s="1211">
        <v>2</v>
      </c>
      <c r="C1108" s="2298"/>
      <c r="D1108" s="2342"/>
      <c r="E1108" s="2342"/>
      <c r="F1108" s="2342"/>
      <c r="G1108" s="2299"/>
      <c r="H1108" s="1005"/>
      <c r="I1108" s="1005"/>
      <c r="J1108" s="1005"/>
      <c r="K1108" s="1005"/>
      <c r="L1108" s="1005"/>
      <c r="M1108" s="1005"/>
    </row>
    <row r="1109" spans="1:13">
      <c r="A1109" s="1210" t="s">
        <v>867</v>
      </c>
      <c r="B1109" s="1211">
        <v>2</v>
      </c>
      <c r="C1109" s="2298"/>
      <c r="D1109" s="2342"/>
      <c r="E1109" s="2342"/>
      <c r="F1109" s="2342"/>
      <c r="G1109" s="2299"/>
      <c r="H1109" s="1005"/>
      <c r="I1109" s="1005"/>
      <c r="J1109" s="1005"/>
      <c r="K1109" s="1005"/>
      <c r="L1109" s="1005"/>
      <c r="M1109" s="1005"/>
    </row>
    <row r="1110" spans="1:13" ht="15.75" thickBot="1">
      <c r="A1110" s="1212" t="s">
        <v>324</v>
      </c>
      <c r="B1110" s="1029">
        <f>ROUNDUP(SUM(B1108:B1109),2)</f>
        <v>4</v>
      </c>
      <c r="C1110" s="2321"/>
      <c r="D1110" s="2322"/>
      <c r="E1110" s="2322"/>
      <c r="F1110" s="2322"/>
      <c r="G1110" s="2323"/>
      <c r="H1110" s="1005"/>
      <c r="I1110" s="1005"/>
      <c r="J1110" s="1005"/>
      <c r="K1110" s="1005"/>
      <c r="L1110" s="1005"/>
      <c r="M1110" s="1005"/>
    </row>
    <row r="1111" spans="1:13" ht="15.75" thickBot="1">
      <c r="A1111" s="1195"/>
      <c r="B1111" s="1063"/>
      <c r="C1111" s="1142"/>
      <c r="D1111" s="1142"/>
      <c r="E1111" s="1142"/>
      <c r="F1111" s="1142"/>
      <c r="G1111" s="1196"/>
      <c r="H1111" s="1005"/>
      <c r="I1111" s="1005"/>
      <c r="J1111" s="1005"/>
      <c r="K1111" s="1005"/>
      <c r="L1111" s="1005"/>
      <c r="M1111" s="1005"/>
    </row>
    <row r="1112" spans="1:13" ht="15.75" thickBot="1">
      <c r="A1112" s="1019" t="s">
        <v>962</v>
      </c>
      <c r="B1112" s="2262" t="s">
        <v>963</v>
      </c>
      <c r="C1112" s="2263"/>
      <c r="D1112" s="2263"/>
      <c r="E1112" s="2263"/>
      <c r="F1112" s="2263"/>
      <c r="G1112" s="2264"/>
      <c r="H1112" s="1005"/>
      <c r="I1112" s="1005"/>
      <c r="J1112" s="1005"/>
      <c r="K1112" s="1005"/>
      <c r="L1112" s="1005"/>
      <c r="M1112" s="1005"/>
    </row>
    <row r="1113" spans="1:13">
      <c r="A1113" s="2281" t="s">
        <v>320</v>
      </c>
      <c r="B1113" s="2282"/>
      <c r="C1113" s="2282"/>
      <c r="D1113" s="2282"/>
      <c r="E1113" s="2282"/>
      <c r="F1113" s="2282"/>
      <c r="G1113" s="2283"/>
      <c r="H1113" s="1005"/>
      <c r="I1113" s="1005"/>
      <c r="J1113" s="1005"/>
      <c r="K1113" s="1005"/>
      <c r="L1113" s="1005"/>
      <c r="M1113" s="1005"/>
    </row>
    <row r="1114" spans="1:13">
      <c r="A1114" s="2268" t="s">
        <v>948</v>
      </c>
      <c r="B1114" s="2269"/>
      <c r="C1114" s="2269"/>
      <c r="D1114" s="2269"/>
      <c r="E1114" s="2269"/>
      <c r="F1114" s="2269"/>
      <c r="G1114" s="2270"/>
      <c r="H1114" s="1005"/>
      <c r="I1114" s="1005"/>
      <c r="J1114" s="1005"/>
      <c r="K1114" s="1005"/>
      <c r="L1114" s="1005"/>
      <c r="M1114" s="1005"/>
    </row>
    <row r="1115" spans="1:13">
      <c r="A1115" s="1208" t="s">
        <v>949</v>
      </c>
      <c r="B1115" s="1209" t="s">
        <v>950</v>
      </c>
      <c r="C1115" s="2349"/>
      <c r="D1115" s="2350"/>
      <c r="E1115" s="2350"/>
      <c r="F1115" s="2350"/>
      <c r="G1115" s="2351"/>
      <c r="H1115" s="1005"/>
      <c r="I1115" s="1005"/>
      <c r="J1115" s="1005"/>
      <c r="K1115" s="1005"/>
      <c r="L1115" s="1005"/>
      <c r="M1115" s="1005"/>
    </row>
    <row r="1116" spans="1:13">
      <c r="A1116" s="1210" t="s">
        <v>869</v>
      </c>
      <c r="B1116" s="1211">
        <v>2</v>
      </c>
      <c r="C1116" s="1216"/>
      <c r="D1116" s="1007"/>
      <c r="E1116" s="1007"/>
      <c r="F1116" s="1007"/>
      <c r="G1116" s="1008"/>
      <c r="H1116" s="1005"/>
      <c r="I1116" s="1005"/>
      <c r="J1116" s="1005"/>
      <c r="K1116" s="1005"/>
      <c r="L1116" s="1005"/>
      <c r="M1116" s="1005"/>
    </row>
    <row r="1117" spans="1:13">
      <c r="A1117" s="1210" t="s">
        <v>867</v>
      </c>
      <c r="B1117" s="1211">
        <v>2</v>
      </c>
      <c r="C1117" s="1216"/>
      <c r="D1117" s="1007"/>
      <c r="E1117" s="1007"/>
      <c r="F1117" s="1007"/>
      <c r="G1117" s="1008"/>
      <c r="H1117" s="1005"/>
      <c r="I1117" s="1005"/>
      <c r="J1117" s="1005"/>
      <c r="K1117" s="1005"/>
      <c r="L1117" s="1005"/>
      <c r="M1117" s="1005"/>
    </row>
    <row r="1118" spans="1:13" ht="15.75" thickBot="1">
      <c r="A1118" s="1212" t="s">
        <v>324</v>
      </c>
      <c r="B1118" s="1029">
        <f>SUM(B1116:B1117)</f>
        <v>4</v>
      </c>
      <c r="C1118" s="2321"/>
      <c r="D1118" s="2322"/>
      <c r="E1118" s="2322"/>
      <c r="F1118" s="2322"/>
      <c r="G1118" s="2323"/>
      <c r="H1118" s="1005"/>
      <c r="I1118" s="1005"/>
      <c r="J1118" s="1005"/>
      <c r="K1118" s="1005"/>
      <c r="L1118" s="1005"/>
      <c r="M1118" s="1005"/>
    </row>
    <row r="1119" spans="1:13" ht="15.75" thickBot="1">
      <c r="A1119" s="1195"/>
      <c r="B1119" s="1063"/>
      <c r="C1119" s="1142"/>
      <c r="D1119" s="1142"/>
      <c r="E1119" s="1142"/>
      <c r="F1119" s="1142"/>
      <c r="G1119" s="1196"/>
      <c r="H1119" s="1005"/>
      <c r="I1119" s="1005"/>
      <c r="J1119" s="1005"/>
      <c r="K1119" s="1005"/>
      <c r="L1119" s="1005"/>
      <c r="M1119" s="1005"/>
    </row>
    <row r="1120" spans="1:13" ht="15.75" thickBot="1">
      <c r="A1120" s="1019" t="s">
        <v>964</v>
      </c>
      <c r="B1120" s="2262" t="s">
        <v>965</v>
      </c>
      <c r="C1120" s="2263"/>
      <c r="D1120" s="2263"/>
      <c r="E1120" s="2263"/>
      <c r="F1120" s="2263"/>
      <c r="G1120" s="2264"/>
      <c r="H1120" s="1005"/>
      <c r="I1120" s="1005"/>
      <c r="J1120" s="1005"/>
      <c r="K1120" s="1005"/>
      <c r="L1120" s="1005"/>
      <c r="M1120" s="1005"/>
    </row>
    <row r="1121" spans="1:13">
      <c r="A1121" s="2281" t="s">
        <v>320</v>
      </c>
      <c r="B1121" s="2282"/>
      <c r="C1121" s="2282"/>
      <c r="D1121" s="2282"/>
      <c r="E1121" s="2282"/>
      <c r="F1121" s="2282"/>
      <c r="G1121" s="2283"/>
      <c r="H1121" s="1005"/>
      <c r="I1121" s="1005"/>
      <c r="J1121" s="1005"/>
      <c r="K1121" s="1005"/>
      <c r="L1121" s="1005"/>
      <c r="M1121" s="1005"/>
    </row>
    <row r="1122" spans="1:13">
      <c r="A1122" s="2268" t="s">
        <v>948</v>
      </c>
      <c r="B1122" s="2269"/>
      <c r="C1122" s="2269"/>
      <c r="D1122" s="2269"/>
      <c r="E1122" s="2269"/>
      <c r="F1122" s="2269"/>
      <c r="G1122" s="2270"/>
      <c r="H1122" s="1005"/>
      <c r="I1122" s="1005"/>
      <c r="J1122" s="1005"/>
      <c r="K1122" s="1005"/>
      <c r="L1122" s="1005"/>
      <c r="M1122" s="1005"/>
    </row>
    <row r="1123" spans="1:13">
      <c r="A1123" s="1208" t="s">
        <v>949</v>
      </c>
      <c r="B1123" s="1209" t="s">
        <v>950</v>
      </c>
      <c r="C1123" s="2349"/>
      <c r="D1123" s="2350"/>
      <c r="E1123" s="2350"/>
      <c r="F1123" s="2350"/>
      <c r="G1123" s="2351"/>
      <c r="H1123" s="1005"/>
      <c r="I1123" s="1005"/>
      <c r="J1123" s="1005"/>
      <c r="K1123" s="1005"/>
      <c r="L1123" s="1005"/>
      <c r="M1123" s="1005"/>
    </row>
    <row r="1124" spans="1:13">
      <c r="A1124" s="1210" t="s">
        <v>956</v>
      </c>
      <c r="B1124" s="1211">
        <v>1</v>
      </c>
      <c r="C1124" s="1216" t="s">
        <v>966</v>
      </c>
      <c r="D1124" s="1007"/>
      <c r="E1124" s="1007"/>
      <c r="F1124" s="1007"/>
      <c r="G1124" s="1008"/>
      <c r="H1124" s="1005"/>
      <c r="I1124" s="1005"/>
      <c r="J1124" s="1005"/>
      <c r="K1124" s="1005"/>
      <c r="L1124" s="1005"/>
      <c r="M1124" s="1005"/>
    </row>
    <row r="1125" spans="1:13">
      <c r="A1125" s="1210" t="s">
        <v>967</v>
      </c>
      <c r="B1125" s="1211">
        <v>1</v>
      </c>
      <c r="C1125" s="1216" t="s">
        <v>966</v>
      </c>
      <c r="D1125" s="1007"/>
      <c r="E1125" s="1007"/>
      <c r="F1125" s="1007"/>
      <c r="G1125" s="1008"/>
      <c r="H1125" s="1005"/>
      <c r="I1125" s="1005"/>
      <c r="J1125" s="1005"/>
      <c r="K1125" s="1005"/>
      <c r="L1125" s="1005"/>
      <c r="M1125" s="1005"/>
    </row>
    <row r="1126" spans="1:13" ht="15.75" thickBot="1">
      <c r="A1126" s="1212" t="s">
        <v>324</v>
      </c>
      <c r="B1126" s="1029">
        <f>ROUNDUP(SUM(B1124:B1125),2)</f>
        <v>2</v>
      </c>
      <c r="C1126" s="2321"/>
      <c r="D1126" s="2322"/>
      <c r="E1126" s="2322"/>
      <c r="F1126" s="2322"/>
      <c r="G1126" s="2323"/>
      <c r="H1126" s="1005"/>
      <c r="I1126" s="1005"/>
      <c r="J1126" s="1005"/>
      <c r="K1126" s="1005"/>
      <c r="L1126" s="1005"/>
      <c r="M1126" s="1005"/>
    </row>
    <row r="1127" spans="1:13" ht="15.75" thickBot="1">
      <c r="A1127" s="1195"/>
      <c r="B1127" s="1063"/>
      <c r="C1127" s="1142"/>
      <c r="D1127" s="1142"/>
      <c r="E1127" s="1142"/>
      <c r="F1127" s="1142"/>
      <c r="G1127" s="1196"/>
      <c r="H1127" s="1005"/>
      <c r="I1127" s="1005"/>
      <c r="J1127" s="1005"/>
      <c r="K1127" s="1005"/>
      <c r="L1127" s="1005"/>
      <c r="M1127" s="1005"/>
    </row>
    <row r="1128" spans="1:13" ht="15.75" thickBot="1">
      <c r="A1128" s="1019" t="s">
        <v>968</v>
      </c>
      <c r="B1128" s="2262" t="s">
        <v>969</v>
      </c>
      <c r="C1128" s="2263"/>
      <c r="D1128" s="2263"/>
      <c r="E1128" s="2263"/>
      <c r="F1128" s="2263"/>
      <c r="G1128" s="2264"/>
      <c r="H1128" s="1005"/>
      <c r="I1128" s="1005"/>
      <c r="J1128" s="1005"/>
      <c r="K1128" s="1005"/>
      <c r="L1128" s="1005"/>
      <c r="M1128" s="1005"/>
    </row>
    <row r="1129" spans="1:13">
      <c r="A1129" s="2281" t="s">
        <v>320</v>
      </c>
      <c r="B1129" s="2282"/>
      <c r="C1129" s="2282"/>
      <c r="D1129" s="2282"/>
      <c r="E1129" s="2282"/>
      <c r="F1129" s="2282"/>
      <c r="G1129" s="2283"/>
      <c r="H1129" s="1005"/>
      <c r="I1129" s="1005"/>
      <c r="J1129" s="1005"/>
      <c r="K1129" s="1005"/>
      <c r="L1129" s="1005"/>
      <c r="M1129" s="1005"/>
    </row>
    <row r="1130" spans="1:13">
      <c r="A1130" s="2268" t="s">
        <v>948</v>
      </c>
      <c r="B1130" s="2269"/>
      <c r="C1130" s="2269"/>
      <c r="D1130" s="2269"/>
      <c r="E1130" s="2269"/>
      <c r="F1130" s="2269"/>
      <c r="G1130" s="2270"/>
      <c r="H1130" s="1005"/>
      <c r="I1130" s="1005"/>
      <c r="J1130" s="1005"/>
      <c r="K1130" s="1005"/>
      <c r="L1130" s="1005"/>
      <c r="M1130" s="1005"/>
    </row>
    <row r="1131" spans="1:13">
      <c r="A1131" s="1208" t="s">
        <v>949</v>
      </c>
      <c r="B1131" s="1209" t="s">
        <v>950</v>
      </c>
      <c r="C1131" s="2349"/>
      <c r="D1131" s="2350"/>
      <c r="E1131" s="2350"/>
      <c r="F1131" s="2350"/>
      <c r="G1131" s="2351"/>
      <c r="H1131" s="1005"/>
      <c r="I1131" s="1005"/>
      <c r="J1131" s="1005"/>
      <c r="K1131" s="1005"/>
      <c r="L1131" s="1005"/>
      <c r="M1131" s="1005"/>
    </row>
    <row r="1132" spans="1:13">
      <c r="A1132" s="1210" t="s">
        <v>865</v>
      </c>
      <c r="B1132" s="1211">
        <v>1</v>
      </c>
      <c r="C1132" s="2298"/>
      <c r="D1132" s="2342"/>
      <c r="E1132" s="2342"/>
      <c r="F1132" s="2342"/>
      <c r="G1132" s="2299"/>
      <c r="H1132" s="1005"/>
      <c r="I1132" s="1005"/>
      <c r="J1132" s="1005"/>
      <c r="K1132" s="1005"/>
      <c r="L1132" s="1005"/>
      <c r="M1132" s="1005"/>
    </row>
    <row r="1133" spans="1:13" ht="15.75" thickBot="1">
      <c r="A1133" s="1212" t="s">
        <v>324</v>
      </c>
      <c r="B1133" s="1029">
        <f>ROUNDUP(SUM(B1132:B1132),2)</f>
        <v>1</v>
      </c>
      <c r="C1133" s="2321"/>
      <c r="D1133" s="2322"/>
      <c r="E1133" s="2322"/>
      <c r="F1133" s="2322"/>
      <c r="G1133" s="2323"/>
      <c r="H1133" s="1005"/>
      <c r="I1133" s="1005"/>
      <c r="J1133" s="1005"/>
      <c r="K1133" s="1005"/>
      <c r="L1133" s="1005"/>
      <c r="M1133" s="1005"/>
    </row>
    <row r="1134" spans="1:13" ht="15.75" thickBot="1">
      <c r="A1134" s="1195"/>
      <c r="B1134" s="1063"/>
      <c r="C1134" s="1142"/>
      <c r="D1134" s="1142"/>
      <c r="E1134" s="1142"/>
      <c r="F1134" s="1142"/>
      <c r="G1134" s="1196"/>
      <c r="H1134" s="1005"/>
      <c r="I1134" s="1005"/>
      <c r="J1134" s="1005"/>
      <c r="K1134" s="1005"/>
      <c r="L1134" s="1005"/>
      <c r="M1134" s="1005"/>
    </row>
    <row r="1135" spans="1:13" ht="15.75" thickBot="1">
      <c r="A1135" s="1019" t="s">
        <v>970</v>
      </c>
      <c r="B1135" s="2262" t="s">
        <v>971</v>
      </c>
      <c r="C1135" s="2263"/>
      <c r="D1135" s="2263"/>
      <c r="E1135" s="2263"/>
      <c r="F1135" s="2263"/>
      <c r="G1135" s="2264"/>
      <c r="H1135" s="1005"/>
      <c r="I1135" s="1005"/>
      <c r="J1135" s="1005"/>
      <c r="K1135" s="1005"/>
      <c r="L1135" s="1005"/>
      <c r="M1135" s="1005"/>
    </row>
    <row r="1136" spans="1:13" ht="15.75" thickBot="1">
      <c r="A1136" s="1019" t="s">
        <v>972</v>
      </c>
      <c r="B1136" s="2262" t="s">
        <v>973</v>
      </c>
      <c r="C1136" s="2263"/>
      <c r="D1136" s="2263"/>
      <c r="E1136" s="2263"/>
      <c r="F1136" s="2263"/>
      <c r="G1136" s="2264"/>
      <c r="H1136" s="1005"/>
      <c r="I1136" s="1005"/>
      <c r="J1136" s="1005"/>
      <c r="K1136" s="1005"/>
      <c r="L1136" s="1005"/>
      <c r="M1136" s="1005"/>
    </row>
    <row r="1137" spans="1:13">
      <c r="A1137" s="2281" t="s">
        <v>320</v>
      </c>
      <c r="B1137" s="2282"/>
      <c r="C1137" s="2282"/>
      <c r="D1137" s="2282"/>
      <c r="E1137" s="2282"/>
      <c r="F1137" s="2282"/>
      <c r="G1137" s="2283"/>
      <c r="H1137" s="1005"/>
      <c r="I1137" s="1005"/>
      <c r="J1137" s="1005"/>
      <c r="K1137" s="1005"/>
      <c r="L1137" s="1005"/>
      <c r="M1137" s="1005"/>
    </row>
    <row r="1138" spans="1:13">
      <c r="A1138" s="2268" t="s">
        <v>948</v>
      </c>
      <c r="B1138" s="2269"/>
      <c r="C1138" s="2269"/>
      <c r="D1138" s="2269"/>
      <c r="E1138" s="2269"/>
      <c r="F1138" s="2269"/>
      <c r="G1138" s="2270"/>
      <c r="H1138" s="1005"/>
      <c r="I1138" s="1005"/>
      <c r="J1138" s="1005"/>
      <c r="K1138" s="1005"/>
      <c r="L1138" s="1005"/>
      <c r="M1138" s="1005"/>
    </row>
    <row r="1139" spans="1:13">
      <c r="A1139" s="1208" t="s">
        <v>394</v>
      </c>
      <c r="B1139" s="1209" t="s">
        <v>974</v>
      </c>
      <c r="C1139" s="2287"/>
      <c r="D1139" s="2288"/>
      <c r="E1139" s="2288"/>
      <c r="F1139" s="1217"/>
      <c r="G1139" s="1218"/>
      <c r="H1139" s="1005"/>
      <c r="I1139" s="1005"/>
      <c r="J1139" s="1005"/>
      <c r="K1139" s="1005"/>
      <c r="L1139" s="1005"/>
      <c r="M1139" s="1005"/>
    </row>
    <row r="1140" spans="1:13">
      <c r="A1140" s="1210" t="s">
        <v>975</v>
      </c>
      <c r="B1140" s="1211">
        <v>2</v>
      </c>
      <c r="C1140" s="2318"/>
      <c r="D1140" s="2319"/>
      <c r="E1140" s="2319"/>
      <c r="F1140" s="2319"/>
      <c r="G1140" s="2320"/>
      <c r="H1140" s="1005"/>
      <c r="I1140" s="1005"/>
      <c r="J1140" s="1005"/>
      <c r="K1140" s="1005"/>
      <c r="L1140" s="1005"/>
      <c r="M1140" s="1005"/>
    </row>
    <row r="1141" spans="1:13">
      <c r="A1141" s="1210" t="s">
        <v>976</v>
      </c>
      <c r="B1141" s="1211">
        <v>2</v>
      </c>
      <c r="C1141" s="2298"/>
      <c r="D1141" s="2342"/>
      <c r="E1141" s="2342"/>
      <c r="F1141" s="2342"/>
      <c r="G1141" s="2299"/>
      <c r="H1141" s="1005"/>
      <c r="I1141" s="1005"/>
      <c r="J1141" s="1005"/>
      <c r="K1141" s="1005"/>
      <c r="L1141" s="1005"/>
      <c r="M1141" s="1005"/>
    </row>
    <row r="1142" spans="1:13" ht="15.75" thickBot="1">
      <c r="A1142" s="1212" t="s">
        <v>977</v>
      </c>
      <c r="B1142" s="1029">
        <f>ROUNDUP(B1140+B1141,2)</f>
        <v>4</v>
      </c>
      <c r="C1142" s="2343"/>
      <c r="D1142" s="2344"/>
      <c r="E1142" s="2344"/>
      <c r="F1142" s="2344"/>
      <c r="G1142" s="2345"/>
      <c r="H1142" s="1005"/>
      <c r="I1142" s="1005"/>
      <c r="J1142" s="1005"/>
      <c r="K1142" s="1005"/>
      <c r="L1142" s="1005"/>
      <c r="M1142" s="1005"/>
    </row>
    <row r="1143" spans="1:13" ht="15.75" thickBot="1">
      <c r="A1143" s="1006"/>
      <c r="B1143" s="1007"/>
      <c r="C1143" s="1007"/>
      <c r="D1143" s="1007"/>
      <c r="E1143" s="1007"/>
      <c r="F1143" s="1007"/>
      <c r="G1143" s="1008"/>
      <c r="H1143" s="1005"/>
      <c r="I1143" s="1005"/>
      <c r="J1143" s="1005"/>
      <c r="K1143" s="1005"/>
      <c r="L1143" s="1005"/>
      <c r="M1143" s="1005"/>
    </row>
    <row r="1144" spans="1:13" ht="15.75" thickBot="1">
      <c r="A1144" s="1019" t="s">
        <v>978</v>
      </c>
      <c r="B1144" s="2262" t="s">
        <v>979</v>
      </c>
      <c r="C1144" s="2263"/>
      <c r="D1144" s="2263"/>
      <c r="E1144" s="2263"/>
      <c r="F1144" s="2263"/>
      <c r="G1144" s="2264"/>
      <c r="H1144" s="1005"/>
      <c r="I1144" s="1005"/>
      <c r="J1144" s="1005"/>
      <c r="K1144" s="1005"/>
      <c r="L1144" s="1005"/>
      <c r="M1144" s="1005"/>
    </row>
    <row r="1145" spans="1:13">
      <c r="A1145" s="2281" t="s">
        <v>320</v>
      </c>
      <c r="B1145" s="2282"/>
      <c r="C1145" s="2282"/>
      <c r="D1145" s="2282"/>
      <c r="E1145" s="2282"/>
      <c r="F1145" s="2282"/>
      <c r="G1145" s="2283"/>
      <c r="H1145" s="1005"/>
      <c r="I1145" s="1005"/>
      <c r="J1145" s="1005"/>
      <c r="K1145" s="1005"/>
      <c r="L1145" s="1005"/>
      <c r="M1145" s="1005"/>
    </row>
    <row r="1146" spans="1:13">
      <c r="A1146" s="2268" t="s">
        <v>948</v>
      </c>
      <c r="B1146" s="2269"/>
      <c r="C1146" s="2269"/>
      <c r="D1146" s="2269"/>
      <c r="E1146" s="2269"/>
      <c r="F1146" s="2269"/>
      <c r="G1146" s="2270"/>
      <c r="H1146" s="1005"/>
      <c r="I1146" s="1005"/>
      <c r="J1146" s="1005"/>
      <c r="K1146" s="1005"/>
      <c r="L1146" s="1005"/>
      <c r="M1146" s="1005"/>
    </row>
    <row r="1147" spans="1:13">
      <c r="A1147" s="1208" t="s">
        <v>394</v>
      </c>
      <c r="B1147" s="1219" t="s">
        <v>980</v>
      </c>
      <c r="C1147" s="2287"/>
      <c r="D1147" s="2288"/>
      <c r="E1147" s="2288"/>
      <c r="F1147" s="2288"/>
      <c r="G1147" s="1218"/>
      <c r="H1147" s="1005"/>
      <c r="I1147" s="1005"/>
      <c r="J1147" s="1005"/>
      <c r="K1147" s="1005"/>
      <c r="L1147" s="1005"/>
      <c r="M1147" s="1005"/>
    </row>
    <row r="1148" spans="1:13">
      <c r="A1148" s="1210" t="s">
        <v>975</v>
      </c>
      <c r="B1148" s="1220">
        <v>1</v>
      </c>
      <c r="C1148" s="2318"/>
      <c r="D1148" s="2319"/>
      <c r="E1148" s="2319"/>
      <c r="F1148" s="2319"/>
      <c r="G1148" s="2320"/>
      <c r="H1148" s="1005"/>
      <c r="I1148" s="1005"/>
      <c r="J1148" s="1005"/>
      <c r="K1148" s="1005"/>
      <c r="L1148" s="1005"/>
      <c r="M1148" s="1005"/>
    </row>
    <row r="1149" spans="1:13">
      <c r="A1149" s="1210" t="s">
        <v>981</v>
      </c>
      <c r="B1149" s="1220">
        <v>1</v>
      </c>
      <c r="C1149" s="2298"/>
      <c r="D1149" s="2342"/>
      <c r="E1149" s="2342"/>
      <c r="F1149" s="2342"/>
      <c r="G1149" s="2299"/>
      <c r="H1149" s="1005"/>
      <c r="I1149" s="1005"/>
      <c r="J1149" s="1005"/>
      <c r="K1149" s="1005"/>
      <c r="L1149" s="1005"/>
      <c r="M1149" s="1005"/>
    </row>
    <row r="1150" spans="1:13" ht="15.75" thickBot="1">
      <c r="A1150" s="1212" t="s">
        <v>977</v>
      </c>
      <c r="B1150" s="1029">
        <f>ROUNDUP(B1148+B1149,2)</f>
        <v>2</v>
      </c>
      <c r="C1150" s="2343"/>
      <c r="D1150" s="2344"/>
      <c r="E1150" s="2344"/>
      <c r="F1150" s="2344"/>
      <c r="G1150" s="2345"/>
      <c r="H1150" s="1005"/>
      <c r="I1150" s="1005"/>
      <c r="J1150" s="1005"/>
      <c r="K1150" s="1005"/>
      <c r="L1150" s="1005"/>
      <c r="M1150" s="1005"/>
    </row>
    <row r="1151" spans="1:13" ht="15.75" thickBot="1">
      <c r="A1151" s="1006"/>
      <c r="B1151" s="1007"/>
      <c r="C1151" s="1007"/>
      <c r="D1151" s="1007"/>
      <c r="E1151" s="1007"/>
      <c r="F1151" s="1007"/>
      <c r="G1151" s="1008"/>
      <c r="H1151" s="1005"/>
      <c r="I1151" s="1005"/>
      <c r="J1151" s="1005"/>
      <c r="K1151" s="1005"/>
      <c r="L1151" s="1005"/>
      <c r="M1151" s="1005"/>
    </row>
    <row r="1152" spans="1:13" ht="15.75" thickBot="1">
      <c r="A1152" s="1019" t="s">
        <v>982</v>
      </c>
      <c r="B1152" s="2262" t="s">
        <v>983</v>
      </c>
      <c r="C1152" s="2263"/>
      <c r="D1152" s="2263"/>
      <c r="E1152" s="2263"/>
      <c r="F1152" s="2263"/>
      <c r="G1152" s="2264"/>
      <c r="H1152" s="1005"/>
      <c r="I1152" s="1005"/>
      <c r="J1152" s="1005"/>
      <c r="K1152" s="1005"/>
      <c r="L1152" s="1005"/>
      <c r="M1152" s="1005"/>
    </row>
    <row r="1153" spans="1:13">
      <c r="A1153" s="2281" t="s">
        <v>320</v>
      </c>
      <c r="B1153" s="2282"/>
      <c r="C1153" s="2282"/>
      <c r="D1153" s="2282"/>
      <c r="E1153" s="2282"/>
      <c r="F1153" s="2282"/>
      <c r="G1153" s="2283"/>
      <c r="H1153" s="1005"/>
      <c r="I1153" s="1005"/>
      <c r="J1153" s="1005"/>
      <c r="K1153" s="1005"/>
      <c r="L1153" s="1005"/>
      <c r="M1153" s="1005"/>
    </row>
    <row r="1154" spans="1:13">
      <c r="A1154" s="2268" t="s">
        <v>948</v>
      </c>
      <c r="B1154" s="2269"/>
      <c r="C1154" s="2269"/>
      <c r="D1154" s="2269"/>
      <c r="E1154" s="2269"/>
      <c r="F1154" s="2269"/>
      <c r="G1154" s="2270"/>
      <c r="H1154" s="1005"/>
      <c r="I1154" s="1005"/>
      <c r="J1154" s="1005"/>
      <c r="K1154" s="1005"/>
      <c r="L1154" s="1005"/>
      <c r="M1154" s="1005"/>
    </row>
    <row r="1155" spans="1:13">
      <c r="A1155" s="1208" t="s">
        <v>394</v>
      </c>
      <c r="B1155" s="1209" t="s">
        <v>984</v>
      </c>
      <c r="C1155" s="2287"/>
      <c r="D1155" s="2288"/>
      <c r="E1155" s="2288"/>
      <c r="F1155" s="2288"/>
      <c r="G1155" s="2289"/>
      <c r="H1155" s="1005"/>
      <c r="I1155" s="1005"/>
      <c r="J1155" s="1005"/>
      <c r="K1155" s="1005"/>
      <c r="L1155" s="1005"/>
      <c r="M1155" s="1005"/>
    </row>
    <row r="1156" spans="1:13">
      <c r="A1156" s="1210" t="s">
        <v>975</v>
      </c>
      <c r="B1156" s="1211">
        <v>1</v>
      </c>
      <c r="C1156" s="2318"/>
      <c r="D1156" s="2319"/>
      <c r="E1156" s="2319"/>
      <c r="F1156" s="2319"/>
      <c r="G1156" s="2320"/>
      <c r="H1156" s="1005"/>
      <c r="I1156" s="1005"/>
      <c r="J1156" s="1005"/>
      <c r="K1156" s="1005"/>
      <c r="L1156" s="1005"/>
      <c r="M1156" s="1005"/>
    </row>
    <row r="1157" spans="1:13">
      <c r="A1157" s="1210" t="s">
        <v>981</v>
      </c>
      <c r="B1157" s="1211">
        <v>1</v>
      </c>
      <c r="C1157" s="2298"/>
      <c r="D1157" s="2342"/>
      <c r="E1157" s="2342"/>
      <c r="F1157" s="2342"/>
      <c r="G1157" s="2299"/>
      <c r="H1157" s="1005"/>
      <c r="I1157" s="1005"/>
      <c r="J1157" s="1005"/>
      <c r="K1157" s="1005"/>
      <c r="L1157" s="1005"/>
      <c r="M1157" s="1005"/>
    </row>
    <row r="1158" spans="1:13" ht="15.75" thickBot="1">
      <c r="A1158" s="1212" t="s">
        <v>977</v>
      </c>
      <c r="B1158" s="1029">
        <f>ROUNDUP(B1156+B1157,2)</f>
        <v>2</v>
      </c>
      <c r="C1158" s="2343"/>
      <c r="D1158" s="2344"/>
      <c r="E1158" s="2344"/>
      <c r="F1158" s="2344"/>
      <c r="G1158" s="2345"/>
      <c r="H1158" s="1005"/>
      <c r="I1158" s="1005"/>
      <c r="J1158" s="1005"/>
      <c r="K1158" s="1005"/>
      <c r="L1158" s="1005"/>
      <c r="M1158" s="1005"/>
    </row>
    <row r="1159" spans="1:13" ht="15.75" thickBot="1">
      <c r="A1159" s="1006"/>
      <c r="B1159" s="1007"/>
      <c r="C1159" s="1007"/>
      <c r="D1159" s="1007"/>
      <c r="E1159" s="1007"/>
      <c r="F1159" s="1007"/>
      <c r="G1159" s="1008"/>
      <c r="H1159" s="1005"/>
      <c r="I1159" s="1005"/>
      <c r="J1159" s="1005"/>
      <c r="K1159" s="1005"/>
      <c r="L1159" s="1005"/>
      <c r="M1159" s="1005"/>
    </row>
    <row r="1160" spans="1:13" ht="15.75" thickBot="1">
      <c r="A1160" s="1019" t="s">
        <v>985</v>
      </c>
      <c r="B1160" s="2262" t="s">
        <v>986</v>
      </c>
      <c r="C1160" s="2263"/>
      <c r="D1160" s="2263"/>
      <c r="E1160" s="2263"/>
      <c r="F1160" s="2263"/>
      <c r="G1160" s="2264"/>
      <c r="H1160" s="1005"/>
      <c r="I1160" s="1005"/>
      <c r="J1160" s="1005"/>
      <c r="K1160" s="1005"/>
      <c r="L1160" s="1005"/>
      <c r="M1160" s="1005"/>
    </row>
    <row r="1161" spans="1:13">
      <c r="A1161" s="2348" t="s">
        <v>320</v>
      </c>
      <c r="B1161" s="2282"/>
      <c r="C1161" s="2282"/>
      <c r="D1161" s="2282"/>
      <c r="E1161" s="2282"/>
      <c r="F1161" s="2282"/>
      <c r="G1161" s="2283"/>
      <c r="H1161" s="1005"/>
      <c r="I1161" s="1005"/>
      <c r="J1161" s="1005"/>
      <c r="K1161" s="1005"/>
      <c r="L1161" s="1005"/>
      <c r="M1161" s="1005"/>
    </row>
    <row r="1162" spans="1:13">
      <c r="A1162" s="2346" t="s">
        <v>948</v>
      </c>
      <c r="B1162" s="2269"/>
      <c r="C1162" s="2269"/>
      <c r="D1162" s="2269"/>
      <c r="E1162" s="2269"/>
      <c r="F1162" s="2269"/>
      <c r="G1162" s="2270"/>
      <c r="H1162" s="1005"/>
      <c r="I1162" s="1005"/>
      <c r="J1162" s="1005"/>
      <c r="K1162" s="1005"/>
      <c r="L1162" s="1005"/>
      <c r="M1162" s="1005"/>
    </row>
    <row r="1163" spans="1:13">
      <c r="A1163" s="1274" t="s">
        <v>394</v>
      </c>
      <c r="B1163" s="1027" t="s">
        <v>293</v>
      </c>
      <c r="C1163" s="2287"/>
      <c r="D1163" s="2288"/>
      <c r="E1163" s="2288"/>
      <c r="F1163" s="2288"/>
      <c r="G1163" s="1218"/>
      <c r="H1163" s="1005"/>
      <c r="I1163" s="1005"/>
      <c r="J1163" s="1005"/>
      <c r="K1163" s="1005"/>
      <c r="L1163" s="1005"/>
      <c r="M1163" s="1005"/>
    </row>
    <row r="1164" spans="1:13">
      <c r="A1164" s="1275" t="s">
        <v>981</v>
      </c>
      <c r="B1164" s="1220">
        <v>1</v>
      </c>
      <c r="C1164" s="1007"/>
      <c r="D1164" s="1007"/>
      <c r="E1164" s="1221"/>
      <c r="F1164" s="1221"/>
      <c r="G1164" s="1222"/>
      <c r="H1164" s="1005"/>
      <c r="I1164" s="1005"/>
      <c r="J1164" s="1005"/>
      <c r="K1164" s="1005"/>
      <c r="L1164" s="1005"/>
      <c r="M1164" s="1005"/>
    </row>
    <row r="1165" spans="1:13">
      <c r="A1165" s="1275" t="s">
        <v>987</v>
      </c>
      <c r="B1165" s="1220">
        <v>1</v>
      </c>
      <c r="C1165" s="1007"/>
      <c r="D1165" s="1007"/>
      <c r="E1165" s="1007"/>
      <c r="F1165" s="1007"/>
      <c r="G1165" s="1008"/>
      <c r="H1165" s="1005"/>
      <c r="I1165" s="1005"/>
      <c r="J1165" s="1005"/>
      <c r="K1165" s="1005"/>
      <c r="L1165" s="1005"/>
      <c r="M1165" s="1005"/>
    </row>
    <row r="1166" spans="1:13">
      <c r="A1166" s="1275" t="s">
        <v>988</v>
      </c>
      <c r="B1166" s="1223">
        <v>1</v>
      </c>
      <c r="C1166" s="1007"/>
      <c r="D1166" s="1007"/>
      <c r="E1166" s="1007" t="s">
        <v>989</v>
      </c>
      <c r="F1166" s="1007"/>
      <c r="G1166" s="1008"/>
      <c r="H1166" s="1005"/>
      <c r="I1166" s="1005"/>
      <c r="J1166" s="1005"/>
      <c r="K1166" s="1005"/>
      <c r="L1166" s="1005"/>
      <c r="M1166" s="1005"/>
    </row>
    <row r="1167" spans="1:13">
      <c r="A1167" s="1275" t="s">
        <v>990</v>
      </c>
      <c r="B1167" s="1223">
        <v>1</v>
      </c>
      <c r="C1167" s="1007"/>
      <c r="D1167" s="1007"/>
      <c r="E1167" s="1007"/>
      <c r="F1167" s="1007"/>
      <c r="G1167" s="1008"/>
      <c r="H1167" s="1005"/>
      <c r="I1167" s="1005"/>
      <c r="J1167" s="1005"/>
      <c r="K1167" s="1005"/>
      <c r="L1167" s="1005"/>
      <c r="M1167" s="1005"/>
    </row>
    <row r="1168" spans="1:13">
      <c r="A1168" s="1224"/>
      <c r="B1168" s="1223"/>
      <c r="C1168" s="1007"/>
      <c r="D1168" s="1007"/>
      <c r="E1168" s="1007"/>
      <c r="F1168" s="1007"/>
      <c r="G1168" s="1008"/>
      <c r="H1168" s="1005"/>
      <c r="I1168" s="1005"/>
      <c r="J1168" s="1005"/>
      <c r="K1168" s="1005"/>
      <c r="L1168" s="1005"/>
      <c r="M1168" s="1005"/>
    </row>
    <row r="1169" spans="1:13">
      <c r="A1169" s="1224"/>
      <c r="B1169" s="1223"/>
      <c r="C1169" s="1007"/>
      <c r="D1169" s="1007"/>
      <c r="E1169" s="1007"/>
      <c r="F1169" s="1007"/>
      <c r="G1169" s="1008"/>
      <c r="H1169" s="1005"/>
      <c r="I1169" s="1005"/>
      <c r="J1169" s="1005"/>
      <c r="K1169" s="1005"/>
      <c r="L1169" s="1005"/>
      <c r="M1169" s="1005"/>
    </row>
    <row r="1170" spans="1:13">
      <c r="A1170" s="1224"/>
      <c r="B1170" s="1223"/>
      <c r="C1170" s="1007"/>
      <c r="D1170" s="1007"/>
      <c r="E1170" s="1007"/>
      <c r="F1170" s="1007"/>
      <c r="G1170" s="1008"/>
      <c r="H1170" s="1005"/>
      <c r="I1170" s="1005"/>
      <c r="J1170" s="1005"/>
      <c r="K1170" s="1005"/>
      <c r="L1170" s="1005"/>
      <c r="M1170" s="1005"/>
    </row>
    <row r="1171" spans="1:13" ht="15.75" thickBot="1">
      <c r="A1171" s="1212" t="s">
        <v>977</v>
      </c>
      <c r="B1171" s="1029">
        <f>ROUNDUP(B1164+B1165+B1166+B1167,2)</f>
        <v>4</v>
      </c>
      <c r="C1171" s="2343"/>
      <c r="D1171" s="2347"/>
      <c r="E1171" s="2347"/>
      <c r="F1171" s="2347"/>
      <c r="G1171" s="2345"/>
      <c r="H1171" s="1005"/>
      <c r="I1171" s="1005"/>
      <c r="J1171" s="1005"/>
      <c r="K1171" s="1005"/>
      <c r="L1171" s="1005"/>
      <c r="M1171" s="1005"/>
    </row>
    <row r="1172" spans="1:13" ht="15.75" thickBot="1">
      <c r="A1172" s="1006"/>
      <c r="B1172" s="1007"/>
      <c r="C1172" s="1007"/>
      <c r="D1172" s="1007"/>
      <c r="E1172" s="1007"/>
      <c r="F1172" s="1007"/>
      <c r="G1172" s="1008"/>
      <c r="H1172" s="1005"/>
      <c r="I1172" s="1005"/>
      <c r="J1172" s="1005"/>
      <c r="K1172" s="1005"/>
      <c r="L1172" s="1005"/>
      <c r="M1172" s="1005"/>
    </row>
    <row r="1173" spans="1:13" ht="15.75" thickBot="1">
      <c r="A1173" s="1019" t="s">
        <v>991</v>
      </c>
      <c r="B1173" s="2262" t="s">
        <v>992</v>
      </c>
      <c r="C1173" s="2263"/>
      <c r="D1173" s="2263"/>
      <c r="E1173" s="2263"/>
      <c r="F1173" s="2263"/>
      <c r="G1173" s="2264"/>
      <c r="H1173" s="1005"/>
      <c r="I1173" s="1005"/>
      <c r="J1173" s="1005"/>
      <c r="K1173" s="1005"/>
      <c r="L1173" s="1005"/>
      <c r="M1173" s="1005"/>
    </row>
    <row r="1174" spans="1:13">
      <c r="A1174" s="2281" t="s">
        <v>320</v>
      </c>
      <c r="B1174" s="2282"/>
      <c r="C1174" s="2282"/>
      <c r="D1174" s="2282"/>
      <c r="E1174" s="2282"/>
      <c r="F1174" s="2282"/>
      <c r="G1174" s="2283"/>
      <c r="H1174" s="1005"/>
      <c r="I1174" s="1005"/>
      <c r="J1174" s="1005"/>
      <c r="K1174" s="1005"/>
      <c r="L1174" s="1005"/>
      <c r="M1174" s="1005"/>
    </row>
    <row r="1175" spans="1:13">
      <c r="A1175" s="2268" t="s">
        <v>948</v>
      </c>
      <c r="B1175" s="2269"/>
      <c r="C1175" s="2269"/>
      <c r="D1175" s="2269"/>
      <c r="E1175" s="2269"/>
      <c r="F1175" s="2269"/>
      <c r="G1175" s="2270"/>
      <c r="H1175" s="1005"/>
      <c r="I1175" s="1005"/>
      <c r="J1175" s="1005"/>
      <c r="K1175" s="1005"/>
      <c r="L1175" s="1005"/>
      <c r="M1175" s="1005"/>
    </row>
    <row r="1176" spans="1:13">
      <c r="A1176" s="1208" t="s">
        <v>394</v>
      </c>
      <c r="B1176" s="1209" t="s">
        <v>293</v>
      </c>
      <c r="C1176" s="2287"/>
      <c r="D1176" s="2288"/>
      <c r="E1176" s="2288"/>
      <c r="F1176" s="2288"/>
      <c r="G1176" s="1218"/>
      <c r="H1176" s="1005"/>
      <c r="I1176" s="1005"/>
      <c r="J1176" s="1005"/>
      <c r="K1176" s="1005"/>
      <c r="L1176" s="1005"/>
      <c r="M1176" s="1005"/>
    </row>
    <row r="1177" spans="1:13">
      <c r="A1177" s="1210" t="s">
        <v>981</v>
      </c>
      <c r="B1177" s="1211">
        <v>1</v>
      </c>
      <c r="C1177" s="1227"/>
      <c r="D1177" s="1221"/>
      <c r="E1177" s="1221"/>
      <c r="F1177" s="1221"/>
      <c r="G1177" s="1222"/>
      <c r="H1177" s="1005"/>
      <c r="I1177" s="1005"/>
      <c r="J1177" s="1005"/>
      <c r="K1177" s="1005"/>
      <c r="L1177" s="1005"/>
      <c r="M1177" s="1005"/>
    </row>
    <row r="1178" spans="1:13">
      <c r="A1178" s="1210" t="s">
        <v>975</v>
      </c>
      <c r="B1178" s="1211">
        <v>1</v>
      </c>
      <c r="C1178" s="1216"/>
      <c r="D1178" s="1007"/>
      <c r="E1178" s="1007"/>
      <c r="F1178" s="1007"/>
      <c r="G1178" s="1008"/>
      <c r="H1178" s="1005"/>
      <c r="I1178" s="1005"/>
      <c r="J1178" s="1005"/>
      <c r="K1178" s="1005"/>
      <c r="L1178" s="1005"/>
      <c r="M1178" s="1005"/>
    </row>
    <row r="1179" spans="1:13">
      <c r="A1179" s="1224" t="s">
        <v>988</v>
      </c>
      <c r="B1179" s="1228">
        <v>1</v>
      </c>
      <c r="C1179" s="1216"/>
      <c r="D1179" s="1007"/>
      <c r="E1179" s="1007"/>
      <c r="F1179" s="1007"/>
      <c r="G1179" s="1008"/>
      <c r="H1179" s="1005"/>
      <c r="I1179" s="1005"/>
      <c r="J1179" s="1005"/>
      <c r="K1179" s="1005"/>
      <c r="L1179" s="1005"/>
      <c r="M1179" s="1005"/>
    </row>
    <row r="1180" spans="1:13">
      <c r="A1180" s="1224" t="s">
        <v>990</v>
      </c>
      <c r="B1180" s="1228">
        <v>1</v>
      </c>
      <c r="C1180" s="1216"/>
      <c r="D1180" s="1007"/>
      <c r="E1180" s="1007"/>
      <c r="F1180" s="1007"/>
      <c r="G1180" s="1008"/>
      <c r="H1180" s="1005"/>
      <c r="I1180" s="1005"/>
      <c r="J1180" s="1005"/>
      <c r="K1180" s="1005"/>
      <c r="L1180" s="1005"/>
      <c r="M1180" s="1005"/>
    </row>
    <row r="1181" spans="1:13">
      <c r="A1181" s="1224"/>
      <c r="B1181" s="1228"/>
      <c r="C1181" s="1216"/>
      <c r="D1181" s="1007"/>
      <c r="E1181" s="1007"/>
      <c r="F1181" s="1007"/>
      <c r="G1181" s="1008"/>
      <c r="H1181" s="1005"/>
      <c r="I1181" s="1005"/>
      <c r="J1181" s="1005"/>
      <c r="K1181" s="1005"/>
      <c r="L1181" s="1005"/>
      <c r="M1181" s="1005"/>
    </row>
    <row r="1182" spans="1:13">
      <c r="A1182" s="1224"/>
      <c r="B1182" s="1228"/>
      <c r="C1182" s="1216"/>
      <c r="D1182" s="1007"/>
      <c r="E1182" s="1007"/>
      <c r="F1182" s="1007"/>
      <c r="G1182" s="1008"/>
      <c r="H1182" s="1005"/>
      <c r="I1182" s="1005"/>
      <c r="J1182" s="1005"/>
      <c r="K1182" s="1005"/>
      <c r="L1182" s="1005"/>
      <c r="M1182" s="1005"/>
    </row>
    <row r="1183" spans="1:13">
      <c r="A1183" s="1224"/>
      <c r="B1183" s="1228"/>
      <c r="C1183" s="1216"/>
      <c r="D1183" s="1007"/>
      <c r="E1183" s="1007"/>
      <c r="F1183" s="1007"/>
      <c r="G1183" s="1008"/>
      <c r="H1183" s="1005"/>
      <c r="I1183" s="1005"/>
      <c r="J1183" s="1005"/>
      <c r="K1183" s="1005"/>
      <c r="L1183" s="1005"/>
      <c r="M1183" s="1005"/>
    </row>
    <row r="1184" spans="1:13">
      <c r="A1184" s="1224"/>
      <c r="B1184" s="1228"/>
      <c r="C1184" s="1216"/>
      <c r="D1184" s="1007"/>
      <c r="E1184" s="1007"/>
      <c r="F1184" s="1007"/>
      <c r="G1184" s="1008"/>
      <c r="H1184" s="1005"/>
      <c r="I1184" s="1005"/>
      <c r="J1184" s="1005"/>
      <c r="K1184" s="1005"/>
      <c r="L1184" s="1005"/>
      <c r="M1184" s="1005"/>
    </row>
    <row r="1185" spans="1:13" ht="15.75" thickBot="1">
      <c r="A1185" s="1212" t="s">
        <v>977</v>
      </c>
      <c r="B1185" s="1029">
        <f>ROUNDUP(B1177+B1178+B1179+B1180,2)</f>
        <v>4</v>
      </c>
      <c r="C1185" s="2343"/>
      <c r="D1185" s="2344"/>
      <c r="E1185" s="2344"/>
      <c r="F1185" s="2344"/>
      <c r="G1185" s="2345"/>
      <c r="H1185" s="1005"/>
      <c r="I1185" s="1005"/>
      <c r="J1185" s="1005"/>
      <c r="K1185" s="1005"/>
      <c r="L1185" s="1005"/>
      <c r="M1185" s="1005"/>
    </row>
    <row r="1186" spans="1:13" ht="15.75" thickBot="1">
      <c r="A1186" s="1226"/>
      <c r="B1186" s="1226"/>
      <c r="C1186" s="1226"/>
      <c r="D1186" s="1226"/>
      <c r="E1186" s="1226"/>
      <c r="F1186" s="1226"/>
      <c r="G1186" s="1226"/>
      <c r="H1186" s="1005"/>
      <c r="I1186" s="1005"/>
      <c r="J1186" s="1005"/>
      <c r="K1186" s="1005"/>
      <c r="L1186" s="1005"/>
      <c r="M1186" s="1005"/>
    </row>
    <row r="1187" spans="1:13" ht="15.75" thickBot="1">
      <c r="A1187" s="1019" t="s">
        <v>993</v>
      </c>
      <c r="B1187" s="2262" t="s">
        <v>994</v>
      </c>
      <c r="C1187" s="2263"/>
      <c r="D1187" s="2263"/>
      <c r="E1187" s="2263"/>
      <c r="F1187" s="2263"/>
      <c r="G1187" s="2264"/>
      <c r="H1187" s="1005"/>
      <c r="I1187" s="1005"/>
      <c r="J1187" s="1005"/>
      <c r="K1187" s="1005"/>
      <c r="L1187" s="1005"/>
      <c r="M1187" s="1005"/>
    </row>
    <row r="1188" spans="1:13">
      <c r="A1188" s="2348" t="s">
        <v>320</v>
      </c>
      <c r="B1188" s="2282"/>
      <c r="C1188" s="2282"/>
      <c r="D1188" s="2282"/>
      <c r="E1188" s="2282"/>
      <c r="F1188" s="2282"/>
      <c r="G1188" s="2283"/>
      <c r="H1188" s="1005"/>
      <c r="I1188" s="1005"/>
      <c r="J1188" s="1005"/>
      <c r="K1188" s="1005"/>
      <c r="L1188" s="1005"/>
      <c r="M1188" s="1005"/>
    </row>
    <row r="1189" spans="1:13">
      <c r="A1189" s="2346" t="s">
        <v>948</v>
      </c>
      <c r="B1189" s="2269"/>
      <c r="C1189" s="2269"/>
      <c r="D1189" s="2269"/>
      <c r="E1189" s="2269"/>
      <c r="F1189" s="2269"/>
      <c r="G1189" s="2270"/>
      <c r="H1189" s="1005"/>
      <c r="I1189" s="1005"/>
      <c r="J1189" s="1005"/>
      <c r="K1189" s="1005"/>
      <c r="L1189" s="1005"/>
      <c r="M1189" s="1005"/>
    </row>
    <row r="1190" spans="1:13">
      <c r="A1190" s="1274" t="s">
        <v>394</v>
      </c>
      <c r="B1190" s="1027" t="s">
        <v>293</v>
      </c>
      <c r="C1190" s="2288"/>
      <c r="D1190" s="2288"/>
      <c r="E1190" s="2288"/>
      <c r="F1190" s="2288"/>
      <c r="G1190" s="1218"/>
      <c r="H1190" s="1005"/>
      <c r="I1190" s="1005"/>
      <c r="J1190" s="1005"/>
      <c r="K1190" s="1005"/>
      <c r="L1190" s="1005"/>
      <c r="M1190" s="1005"/>
    </row>
    <row r="1191" spans="1:13">
      <c r="A1191" s="1275" t="s">
        <v>981</v>
      </c>
      <c r="B1191" s="1273">
        <v>1</v>
      </c>
      <c r="C1191" s="1221"/>
      <c r="D1191" s="1221"/>
      <c r="E1191" s="1221"/>
      <c r="F1191" s="1221"/>
      <c r="G1191" s="1222"/>
      <c r="H1191" s="1005"/>
      <c r="I1191" s="1005"/>
      <c r="J1191" s="1005"/>
      <c r="K1191" s="1005"/>
      <c r="L1191" s="1005"/>
      <c r="M1191" s="1005"/>
    </row>
    <row r="1192" spans="1:13">
      <c r="A1192" s="1275" t="s">
        <v>975</v>
      </c>
      <c r="B1192" s="1273">
        <v>1</v>
      </c>
      <c r="C1192" s="1007"/>
      <c r="D1192" s="1007"/>
      <c r="E1192" s="1007"/>
      <c r="F1192" s="1007"/>
      <c r="G1192" s="1008"/>
      <c r="H1192" s="1005"/>
      <c r="I1192" s="1005"/>
      <c r="J1192" s="1005"/>
      <c r="K1192" s="1005"/>
      <c r="L1192" s="1005"/>
      <c r="M1192" s="1005"/>
    </row>
    <row r="1193" spans="1:13">
      <c r="A1193" s="1275" t="s">
        <v>988</v>
      </c>
      <c r="B1193" s="1273">
        <v>2</v>
      </c>
      <c r="C1193" s="1007"/>
      <c r="D1193" s="1007"/>
      <c r="E1193" s="1007" t="s">
        <v>995</v>
      </c>
      <c r="F1193" s="1007"/>
      <c r="G1193" s="1008"/>
      <c r="H1193" s="1005"/>
      <c r="I1193" s="1005"/>
      <c r="J1193" s="1005"/>
      <c r="K1193" s="1005"/>
      <c r="L1193" s="1005"/>
      <c r="M1193" s="1005"/>
    </row>
    <row r="1194" spans="1:13">
      <c r="A1194" s="1275" t="s">
        <v>990</v>
      </c>
      <c r="B1194" s="1273">
        <v>2</v>
      </c>
      <c r="C1194" s="1007"/>
      <c r="D1194" s="1007"/>
      <c r="E1194" s="1007"/>
      <c r="F1194" s="1007"/>
      <c r="G1194" s="1008"/>
      <c r="H1194" s="1005"/>
      <c r="I1194" s="1005"/>
      <c r="J1194" s="1005"/>
      <c r="K1194" s="1005"/>
      <c r="L1194" s="1005"/>
      <c r="M1194" s="1005"/>
    </row>
    <row r="1195" spans="1:13">
      <c r="A1195" s="1275"/>
      <c r="B1195" s="1273"/>
      <c r="C1195" s="1007"/>
      <c r="D1195" s="1007"/>
      <c r="E1195" s="1007"/>
      <c r="F1195" s="1007"/>
      <c r="G1195" s="1008"/>
      <c r="H1195" s="1005"/>
      <c r="I1195" s="1005"/>
      <c r="J1195" s="1005"/>
      <c r="K1195" s="1005"/>
      <c r="L1195" s="1005"/>
      <c r="M1195" s="1005"/>
    </row>
    <row r="1196" spans="1:13">
      <c r="A1196" s="1275"/>
      <c r="B1196" s="1273"/>
      <c r="C1196" s="1007"/>
      <c r="D1196" s="1007"/>
      <c r="E1196" s="1007"/>
      <c r="F1196" s="1007"/>
      <c r="G1196" s="1008"/>
      <c r="H1196" s="1005"/>
      <c r="I1196" s="1005"/>
      <c r="J1196" s="1005"/>
      <c r="K1196" s="1005"/>
      <c r="L1196" s="1005"/>
      <c r="M1196" s="1005"/>
    </row>
    <row r="1197" spans="1:13">
      <c r="A1197" s="1275"/>
      <c r="B1197" s="1273"/>
      <c r="C1197" s="1007"/>
      <c r="D1197" s="1007"/>
      <c r="E1197" s="1007"/>
      <c r="F1197" s="1007"/>
      <c r="G1197" s="1008"/>
      <c r="H1197" s="1005"/>
      <c r="I1197" s="1005"/>
      <c r="J1197" s="1005"/>
      <c r="K1197" s="1005"/>
      <c r="L1197" s="1005"/>
      <c r="M1197" s="1005"/>
    </row>
    <row r="1198" spans="1:13" ht="15.75" thickBot="1">
      <c r="A1198" s="1276" t="s">
        <v>977</v>
      </c>
      <c r="B1198" s="1029">
        <f>ROUNDUP(B1191+B1193+B1194+B1192,2)</f>
        <v>6</v>
      </c>
      <c r="C1198" s="2347"/>
      <c r="D1198" s="2347"/>
      <c r="E1198" s="2347"/>
      <c r="F1198" s="2347"/>
      <c r="G1198" s="2345"/>
      <c r="H1198" s="1005"/>
      <c r="I1198" s="1005"/>
      <c r="J1198" s="1005"/>
      <c r="K1198" s="1005"/>
      <c r="L1198" s="1005"/>
      <c r="M1198" s="1005"/>
    </row>
    <row r="1199" spans="1:13" ht="15.75" thickBot="1">
      <c r="A1199" s="1006"/>
      <c r="B1199" s="1007"/>
      <c r="C1199" s="1007"/>
      <c r="D1199" s="1007"/>
      <c r="E1199" s="1007"/>
      <c r="F1199" s="1007"/>
      <c r="G1199" s="1008"/>
      <c r="H1199" s="1005"/>
      <c r="I1199" s="1005"/>
      <c r="J1199" s="1005"/>
      <c r="K1199" s="1005"/>
      <c r="L1199" s="1005"/>
      <c r="M1199" s="1005"/>
    </row>
    <row r="1200" spans="1:13" ht="15.75" thickBot="1">
      <c r="A1200" s="1019" t="s">
        <v>996</v>
      </c>
      <c r="B1200" s="2262" t="s">
        <v>997</v>
      </c>
      <c r="C1200" s="2263"/>
      <c r="D1200" s="2263"/>
      <c r="E1200" s="2263"/>
      <c r="F1200" s="2263"/>
      <c r="G1200" s="2264"/>
      <c r="H1200" s="1005"/>
      <c r="I1200" s="1005"/>
      <c r="J1200" s="1005"/>
      <c r="K1200" s="1005"/>
      <c r="L1200" s="1005"/>
      <c r="M1200" s="1005"/>
    </row>
    <row r="1201" spans="1:13">
      <c r="A1201" s="2281" t="s">
        <v>320</v>
      </c>
      <c r="B1201" s="2282"/>
      <c r="C1201" s="2282"/>
      <c r="D1201" s="2282"/>
      <c r="E1201" s="2282"/>
      <c r="F1201" s="2282"/>
      <c r="G1201" s="2283"/>
      <c r="H1201" s="1005"/>
      <c r="I1201" s="1005"/>
      <c r="J1201" s="1005"/>
      <c r="K1201" s="1005"/>
      <c r="L1201" s="1005"/>
      <c r="M1201" s="1005"/>
    </row>
    <row r="1202" spans="1:13">
      <c r="A1202" s="2268" t="s">
        <v>948</v>
      </c>
      <c r="B1202" s="2269"/>
      <c r="C1202" s="2269"/>
      <c r="D1202" s="2269"/>
      <c r="E1202" s="2269"/>
      <c r="F1202" s="2269"/>
      <c r="G1202" s="2270"/>
      <c r="H1202" s="1005"/>
      <c r="I1202" s="1005"/>
      <c r="J1202" s="1005"/>
      <c r="K1202" s="1005"/>
      <c r="L1202" s="1005"/>
      <c r="M1202" s="1005"/>
    </row>
    <row r="1203" spans="1:13">
      <c r="A1203" s="1208" t="s">
        <v>394</v>
      </c>
      <c r="B1203" s="1209" t="s">
        <v>293</v>
      </c>
      <c r="C1203" s="2287" t="s">
        <v>998</v>
      </c>
      <c r="D1203" s="2288"/>
      <c r="E1203" s="2288"/>
      <c r="F1203" s="2288"/>
      <c r="G1203" s="1218"/>
      <c r="H1203" s="1005"/>
      <c r="I1203" s="1005"/>
      <c r="J1203" s="1005"/>
      <c r="K1203" s="1005"/>
      <c r="L1203" s="1005"/>
      <c r="M1203" s="1005"/>
    </row>
    <row r="1204" spans="1:13">
      <c r="A1204" s="1210" t="s">
        <v>981</v>
      </c>
      <c r="B1204" s="1211">
        <v>1</v>
      </c>
      <c r="C1204" s="2318">
        <f>0.45*0.9*4</f>
        <v>1.62</v>
      </c>
      <c r="D1204" s="2319"/>
      <c r="E1204" s="2319"/>
      <c r="F1204" s="2319"/>
      <c r="G1204" s="2320"/>
      <c r="H1204" s="1005"/>
      <c r="I1204" s="1005"/>
      <c r="J1204" s="1005"/>
      <c r="K1204" s="1005"/>
      <c r="L1204" s="1005"/>
      <c r="M1204" s="1005"/>
    </row>
    <row r="1205" spans="1:13">
      <c r="A1205" s="1210" t="s">
        <v>975</v>
      </c>
      <c r="B1205" s="1211">
        <v>1</v>
      </c>
      <c r="C1205" s="2298"/>
      <c r="D1205" s="2342"/>
      <c r="E1205" s="2342"/>
      <c r="F1205" s="2342"/>
      <c r="G1205" s="2299"/>
      <c r="H1205" s="1005"/>
      <c r="I1205" s="1005"/>
      <c r="J1205" s="1005"/>
      <c r="K1205" s="1005"/>
      <c r="L1205" s="1005"/>
      <c r="M1205" s="1005"/>
    </row>
    <row r="1206" spans="1:13">
      <c r="A1206" s="1210" t="s">
        <v>999</v>
      </c>
      <c r="B1206" s="1228">
        <v>1</v>
      </c>
      <c r="C1206" s="2298"/>
      <c r="D1206" s="2342"/>
      <c r="E1206" s="2342"/>
      <c r="F1206" s="2342"/>
      <c r="G1206" s="2299"/>
      <c r="H1206" s="1005"/>
      <c r="I1206" s="1005"/>
      <c r="J1206" s="1005"/>
      <c r="K1206" s="1005"/>
      <c r="L1206" s="1005"/>
      <c r="M1206" s="1005"/>
    </row>
    <row r="1207" spans="1:13">
      <c r="A1207" s="1210" t="s">
        <v>1000</v>
      </c>
      <c r="B1207" s="1228">
        <v>1</v>
      </c>
      <c r="C1207" s="2298"/>
      <c r="D1207" s="2342"/>
      <c r="E1207" s="2342"/>
      <c r="F1207" s="2342"/>
      <c r="G1207" s="2299"/>
      <c r="H1207" s="1005"/>
      <c r="I1207" s="1005"/>
      <c r="J1207" s="1005"/>
      <c r="K1207" s="1005"/>
      <c r="L1207" s="1005"/>
      <c r="M1207" s="1005"/>
    </row>
    <row r="1208" spans="1:13" ht="15.75" thickBot="1">
      <c r="A1208" s="1212" t="s">
        <v>977</v>
      </c>
      <c r="B1208" s="1029">
        <f>SUM(B1204:B1207)</f>
        <v>4</v>
      </c>
      <c r="C1208" s="2343"/>
      <c r="D1208" s="2344"/>
      <c r="E1208" s="2344"/>
      <c r="F1208" s="2344"/>
      <c r="G1208" s="2345"/>
      <c r="H1208" s="1005"/>
      <c r="I1208" s="1005"/>
      <c r="J1208" s="1005"/>
      <c r="K1208" s="1005"/>
      <c r="L1208" s="1005"/>
      <c r="M1208" s="1005"/>
    </row>
    <row r="1209" spans="1:13" ht="15.75" thickBot="1">
      <c r="A1209" s="1225"/>
      <c r="B1209" s="1226"/>
      <c r="C1209" s="1226"/>
      <c r="D1209" s="1226"/>
      <c r="E1209" s="1226"/>
      <c r="F1209" s="1226"/>
      <c r="G1209" s="1229"/>
      <c r="H1209" s="1005"/>
      <c r="I1209" s="1005"/>
      <c r="J1209" s="1005"/>
      <c r="K1209" s="1005"/>
      <c r="L1209" s="1005"/>
      <c r="M1209" s="1005"/>
    </row>
    <row r="1210" spans="1:13" ht="15.75" thickBot="1">
      <c r="A1210" s="1019" t="s">
        <v>1001</v>
      </c>
      <c r="B1210" s="2262" t="s">
        <v>1002</v>
      </c>
      <c r="C1210" s="2263"/>
      <c r="D1210" s="2263"/>
      <c r="E1210" s="2263"/>
      <c r="F1210" s="2263"/>
      <c r="G1210" s="2264"/>
      <c r="H1210" s="1005"/>
      <c r="I1210" s="1005"/>
      <c r="J1210" s="1005"/>
      <c r="K1210" s="1005"/>
      <c r="L1210" s="1005"/>
      <c r="M1210" s="1005"/>
    </row>
    <row r="1211" spans="1:13" ht="15.75" thickBot="1">
      <c r="A1211" s="1019" t="s">
        <v>1003</v>
      </c>
      <c r="B1211" s="2262" t="s">
        <v>1004</v>
      </c>
      <c r="C1211" s="2263"/>
      <c r="D1211" s="2263"/>
      <c r="E1211" s="2263"/>
      <c r="F1211" s="2263"/>
      <c r="G1211" s="2264"/>
      <c r="H1211" s="1005"/>
      <c r="I1211" s="1005"/>
      <c r="J1211" s="1005"/>
      <c r="K1211" s="1005"/>
      <c r="L1211" s="1005"/>
      <c r="M1211" s="1005"/>
    </row>
    <row r="1212" spans="1:13">
      <c r="A1212" s="2281" t="s">
        <v>320</v>
      </c>
      <c r="B1212" s="2282"/>
      <c r="C1212" s="2282"/>
      <c r="D1212" s="2282"/>
      <c r="E1212" s="2282"/>
      <c r="F1212" s="2282"/>
      <c r="G1212" s="2283"/>
      <c r="H1212" s="1005"/>
      <c r="I1212" s="1005"/>
      <c r="J1212" s="1005"/>
      <c r="K1212" s="1005"/>
      <c r="L1212" s="1005"/>
      <c r="M1212" s="1005"/>
    </row>
    <row r="1213" spans="1:13">
      <c r="A1213" s="2268" t="s">
        <v>948</v>
      </c>
      <c r="B1213" s="2269"/>
      <c r="C1213" s="2269"/>
      <c r="D1213" s="2269"/>
      <c r="E1213" s="2269"/>
      <c r="F1213" s="2269"/>
      <c r="G1213" s="2270"/>
      <c r="H1213" s="1005"/>
      <c r="I1213" s="1005"/>
      <c r="J1213" s="1005"/>
      <c r="K1213" s="1005"/>
      <c r="L1213" s="1005"/>
      <c r="M1213" s="1005"/>
    </row>
    <row r="1214" spans="1:13">
      <c r="A1214" s="1208" t="s">
        <v>1005</v>
      </c>
      <c r="B1214" s="1209" t="s">
        <v>293</v>
      </c>
      <c r="C1214" s="1230"/>
      <c r="D1214" s="1231"/>
      <c r="E1214" s="2288"/>
      <c r="F1214" s="2288"/>
      <c r="G1214" s="2289"/>
      <c r="H1214" s="1005"/>
      <c r="I1214" s="1005"/>
      <c r="J1214" s="1005"/>
      <c r="K1214" s="1005"/>
      <c r="L1214" s="1005"/>
      <c r="M1214" s="1005"/>
    </row>
    <row r="1215" spans="1:13">
      <c r="A1215" s="1210" t="s">
        <v>865</v>
      </c>
      <c r="B1215" s="1232">
        <v>1</v>
      </c>
      <c r="C1215" s="2336"/>
      <c r="D1215" s="2337"/>
      <c r="E1215" s="2337"/>
      <c r="F1215" s="2337"/>
      <c r="G1215" s="2338"/>
      <c r="H1215" s="1005"/>
      <c r="I1215" s="1005"/>
      <c r="J1215" s="1005"/>
      <c r="K1215" s="1005"/>
      <c r="L1215" s="1005"/>
      <c r="M1215" s="1005"/>
    </row>
    <row r="1216" spans="1:13">
      <c r="A1216" s="1233" t="s">
        <v>977</v>
      </c>
      <c r="B1216" s="1234">
        <f>ROUNDUP(B1215,2)</f>
        <v>1</v>
      </c>
      <c r="C1216" s="2339"/>
      <c r="D1216" s="2340"/>
      <c r="E1216" s="2340"/>
      <c r="F1216" s="2340"/>
      <c r="G1216" s="2341"/>
      <c r="H1216" s="1005"/>
      <c r="I1216" s="1005"/>
      <c r="J1216" s="1005"/>
      <c r="K1216" s="1005"/>
      <c r="L1216" s="1005"/>
      <c r="M1216" s="1005"/>
    </row>
    <row r="1217" spans="1:13" ht="15.75" thickBot="1">
      <c r="A1217" s="1006"/>
      <c r="B1217" s="1007"/>
      <c r="C1217" s="1007"/>
      <c r="D1217" s="1007"/>
      <c r="E1217" s="1007"/>
      <c r="F1217" s="1007"/>
      <c r="G1217" s="1008"/>
      <c r="H1217" s="1005"/>
      <c r="I1217" s="1005"/>
      <c r="J1217" s="1005"/>
      <c r="K1217" s="1005"/>
      <c r="L1217" s="1005"/>
      <c r="M1217" s="1005"/>
    </row>
    <row r="1218" spans="1:13" ht="15.75" thickBot="1">
      <c r="A1218" s="1019">
        <v>15</v>
      </c>
      <c r="B1218" s="2262" t="s">
        <v>1006</v>
      </c>
      <c r="C1218" s="2263"/>
      <c r="D1218" s="2263"/>
      <c r="E1218" s="2263"/>
      <c r="F1218" s="2263"/>
      <c r="G1218" s="2264"/>
      <c r="H1218" s="1005"/>
      <c r="I1218" s="1005"/>
      <c r="J1218" s="1005"/>
      <c r="K1218" s="1005"/>
      <c r="L1218" s="1005"/>
      <c r="M1218" s="1005"/>
    </row>
    <row r="1219" spans="1:13" ht="15.75" thickBot="1">
      <c r="A1219" s="1085"/>
      <c r="B1219" s="1017"/>
      <c r="C1219" s="1063"/>
      <c r="D1219" s="1086"/>
      <c r="E1219" s="1087"/>
      <c r="F1219" s="1087"/>
      <c r="G1219" s="1088"/>
      <c r="H1219" s="1005"/>
      <c r="I1219" s="1005"/>
      <c r="J1219" s="1005"/>
      <c r="K1219" s="1005"/>
      <c r="L1219" s="1005"/>
      <c r="M1219" s="1005"/>
    </row>
    <row r="1220" spans="1:13" ht="15.75" thickBot="1">
      <c r="A1220" s="1019">
        <v>16</v>
      </c>
      <c r="B1220" s="2262" t="s">
        <v>1007</v>
      </c>
      <c r="C1220" s="2263"/>
      <c r="D1220" s="2263"/>
      <c r="E1220" s="2263"/>
      <c r="F1220" s="2263"/>
      <c r="G1220" s="2264"/>
      <c r="H1220" s="1005"/>
      <c r="I1220" s="1005"/>
      <c r="J1220" s="1005"/>
      <c r="K1220" s="1005"/>
      <c r="L1220" s="1005"/>
      <c r="M1220" s="1005"/>
    </row>
    <row r="1221" spans="1:13" ht="15.75" thickBot="1">
      <c r="A1221" s="1085"/>
      <c r="B1221" s="1017"/>
      <c r="C1221" s="1063"/>
      <c r="D1221" s="1086"/>
      <c r="E1221" s="1087"/>
      <c r="F1221" s="1087"/>
      <c r="G1221" s="1088"/>
      <c r="H1221" s="1005"/>
      <c r="I1221" s="1005"/>
      <c r="J1221" s="1005"/>
      <c r="K1221" s="1005"/>
      <c r="L1221" s="1005"/>
      <c r="M1221" s="1005"/>
    </row>
    <row r="1222" spans="1:13" ht="15.75" thickBot="1">
      <c r="A1222" s="1019">
        <v>17</v>
      </c>
      <c r="B1222" s="2262" t="s">
        <v>1008</v>
      </c>
      <c r="C1222" s="2263"/>
      <c r="D1222" s="2263"/>
      <c r="E1222" s="2263"/>
      <c r="F1222" s="2263"/>
      <c r="G1222" s="2264"/>
      <c r="H1222" s="1005"/>
      <c r="I1222" s="1005"/>
      <c r="J1222" s="1005"/>
      <c r="K1222" s="1005"/>
      <c r="L1222" s="1005"/>
      <c r="M1222" s="1005"/>
    </row>
    <row r="1223" spans="1:13" ht="15.75" thickBot="1">
      <c r="A1223" s="1085"/>
      <c r="B1223" s="1017"/>
      <c r="C1223" s="1063"/>
      <c r="D1223" s="1086"/>
      <c r="E1223" s="1087"/>
      <c r="F1223" s="1087"/>
      <c r="G1223" s="1088"/>
      <c r="H1223" s="1005"/>
      <c r="I1223" s="1005"/>
      <c r="J1223" s="1005"/>
      <c r="K1223" s="1005"/>
      <c r="L1223" s="1005"/>
      <c r="M1223" s="1005"/>
    </row>
    <row r="1224" spans="1:13" ht="15.75" thickBot="1">
      <c r="A1224" s="1019">
        <v>18</v>
      </c>
      <c r="B1224" s="2262" t="s">
        <v>77</v>
      </c>
      <c r="C1224" s="2263"/>
      <c r="D1224" s="2263"/>
      <c r="E1224" s="2263"/>
      <c r="F1224" s="2263"/>
      <c r="G1224" s="2264"/>
      <c r="H1224" s="1005"/>
      <c r="I1224" s="1005"/>
      <c r="J1224" s="1005"/>
      <c r="K1224" s="1005"/>
      <c r="L1224" s="1005"/>
      <c r="M1224" s="1005"/>
    </row>
    <row r="1225" spans="1:13" ht="15.75" thickBot="1">
      <c r="A1225" s="1085"/>
      <c r="B1225" s="1017"/>
      <c r="C1225" s="1063"/>
      <c r="D1225" s="1086"/>
      <c r="E1225" s="1087"/>
      <c r="F1225" s="1087"/>
      <c r="G1225" s="1088"/>
      <c r="H1225" s="1005"/>
      <c r="I1225" s="1005"/>
      <c r="J1225" s="1005"/>
      <c r="K1225" s="1005"/>
      <c r="L1225" s="1005"/>
      <c r="M1225" s="1005"/>
    </row>
    <row r="1226" spans="1:13" ht="15.75" thickBot="1">
      <c r="A1226" s="1019">
        <v>19</v>
      </c>
      <c r="B1226" s="2262" t="s">
        <v>1009</v>
      </c>
      <c r="C1226" s="2263"/>
      <c r="D1226" s="2263"/>
      <c r="E1226" s="2263"/>
      <c r="F1226" s="2263"/>
      <c r="G1226" s="2264"/>
      <c r="H1226" s="1005"/>
      <c r="I1226" s="1005"/>
      <c r="J1226" s="1005"/>
      <c r="K1226" s="1005"/>
      <c r="L1226" s="1005"/>
      <c r="M1226" s="1005"/>
    </row>
    <row r="1227" spans="1:13" ht="15.75" thickBot="1">
      <c r="A1227" s="1006"/>
      <c r="B1227" s="1007"/>
      <c r="C1227" s="1007"/>
      <c r="D1227" s="1007"/>
      <c r="E1227" s="1007"/>
      <c r="F1227" s="1007"/>
      <c r="G1227" s="1008"/>
      <c r="H1227" s="1005"/>
      <c r="I1227" s="1005"/>
      <c r="J1227" s="1005"/>
      <c r="K1227" s="1005"/>
      <c r="L1227" s="1005"/>
      <c r="M1227" s="1005"/>
    </row>
    <row r="1228" spans="1:13" ht="15.75" thickBot="1">
      <c r="A1228" s="1019">
        <v>20</v>
      </c>
      <c r="B1228" s="2262" t="s">
        <v>1010</v>
      </c>
      <c r="C1228" s="2263"/>
      <c r="D1228" s="2263"/>
      <c r="E1228" s="2263"/>
      <c r="F1228" s="2263"/>
      <c r="G1228" s="2264"/>
      <c r="H1228" s="1005"/>
      <c r="I1228" s="1005"/>
      <c r="J1228" s="1005"/>
      <c r="K1228" s="1005"/>
      <c r="L1228" s="1005"/>
      <c r="M1228" s="1005"/>
    </row>
    <row r="1229" spans="1:13" ht="15.75" thickBot="1">
      <c r="A1229" s="1006"/>
      <c r="B1229" s="1007"/>
      <c r="C1229" s="1007"/>
      <c r="D1229" s="1007"/>
      <c r="E1229" s="1007"/>
      <c r="F1229" s="1007"/>
      <c r="G1229" s="1008"/>
      <c r="H1229" s="1005"/>
      <c r="I1229" s="1005"/>
      <c r="J1229" s="1005"/>
      <c r="K1229" s="1005"/>
      <c r="L1229" s="1005"/>
      <c r="M1229" s="1005"/>
    </row>
    <row r="1230" spans="1:13" ht="15.75" thickBot="1">
      <c r="A1230" s="1019">
        <v>21</v>
      </c>
      <c r="B1230" s="2262" t="s">
        <v>1011</v>
      </c>
      <c r="C1230" s="2263"/>
      <c r="D1230" s="2263"/>
      <c r="E1230" s="2263"/>
      <c r="F1230" s="2263"/>
      <c r="G1230" s="2264"/>
      <c r="H1230" s="1005"/>
      <c r="I1230" s="1005"/>
      <c r="J1230" s="1005"/>
      <c r="K1230" s="1005"/>
      <c r="L1230" s="1005"/>
      <c r="M1230" s="1005"/>
    </row>
    <row r="1231" spans="1:13" ht="15.75" thickBot="1">
      <c r="A1231" s="1019" t="s">
        <v>1012</v>
      </c>
      <c r="B1231" s="2262" t="s">
        <v>2353</v>
      </c>
      <c r="C1231" s="2263"/>
      <c r="D1231" s="2263"/>
      <c r="E1231" s="2263"/>
      <c r="F1231" s="2263"/>
      <c r="G1231" s="2264"/>
      <c r="H1231" s="1005"/>
      <c r="I1231" s="1005"/>
      <c r="J1231" s="1005"/>
      <c r="K1231" s="1005"/>
      <c r="L1231" s="1005"/>
      <c r="M1231" s="1005"/>
    </row>
    <row r="1232" spans="1:13">
      <c r="A1232" s="2304" t="s">
        <v>320</v>
      </c>
      <c r="B1232" s="2305"/>
      <c r="C1232" s="2305"/>
      <c r="D1232" s="2305"/>
      <c r="E1232" s="2305"/>
      <c r="F1232" s="2305"/>
      <c r="G1232" s="2306"/>
      <c r="H1232" s="1005"/>
      <c r="I1232" s="1005"/>
      <c r="J1232" s="1005"/>
      <c r="K1232" s="1005"/>
      <c r="L1232" s="1005"/>
      <c r="M1232" s="1005"/>
    </row>
    <row r="1233" spans="1:13">
      <c r="A1233" s="2284" t="s">
        <v>1013</v>
      </c>
      <c r="B1233" s="2285"/>
      <c r="C1233" s="2285"/>
      <c r="D1233" s="2285"/>
      <c r="E1233" s="2285"/>
      <c r="F1233" s="2285"/>
      <c r="G1233" s="2286"/>
      <c r="H1233" s="1005"/>
      <c r="I1233" s="1005"/>
      <c r="J1233" s="1005"/>
      <c r="K1233" s="1005"/>
      <c r="L1233" s="1005"/>
      <c r="M1233" s="1005"/>
    </row>
    <row r="1234" spans="1:13">
      <c r="A1234" s="2316" t="s">
        <v>325</v>
      </c>
      <c r="B1234" s="2317"/>
      <c r="C1234" s="1235" t="s">
        <v>672</v>
      </c>
      <c r="D1234" s="1235" t="s">
        <v>380</v>
      </c>
      <c r="E1234" s="2307" t="s">
        <v>323</v>
      </c>
      <c r="F1234" s="2308"/>
      <c r="G1234" s="2309"/>
      <c r="H1234" s="1005"/>
      <c r="I1234" s="1005"/>
      <c r="J1234" s="1005"/>
      <c r="K1234" s="1005"/>
      <c r="L1234" s="1005"/>
      <c r="M1234" s="1005"/>
    </row>
    <row r="1235" spans="1:13" ht="30.75" customHeight="1">
      <c r="A1235" s="2251" t="s">
        <v>2412</v>
      </c>
      <c r="B1235" s="2252"/>
      <c r="C1235" s="1769" t="s">
        <v>2411</v>
      </c>
      <c r="D1235" s="1132">
        <f>31.95+13.7+66.73</f>
        <v>112.38</v>
      </c>
      <c r="E1235" s="2318" t="s">
        <v>1014</v>
      </c>
      <c r="F1235" s="2319"/>
      <c r="G1235" s="2320"/>
      <c r="H1235" s="1005"/>
      <c r="I1235" s="1005"/>
      <c r="J1235" s="1005"/>
      <c r="K1235" s="1005"/>
      <c r="L1235" s="1005"/>
      <c r="M1235" s="1005"/>
    </row>
    <row r="1236" spans="1:13" ht="30.75" customHeight="1">
      <c r="A1236" s="2510" t="s">
        <v>2413</v>
      </c>
      <c r="B1236" s="2510"/>
      <c r="C1236" s="1783" t="s">
        <v>886</v>
      </c>
      <c r="D1236" s="1028">
        <f>68.14+108.42</f>
        <v>176.56</v>
      </c>
      <c r="E1236" s="2318" t="s">
        <v>1014</v>
      </c>
      <c r="F1236" s="2319"/>
      <c r="G1236" s="2320"/>
      <c r="H1236" s="1005"/>
      <c r="I1236" s="1005"/>
      <c r="J1236" s="1005"/>
      <c r="K1236" s="1005"/>
      <c r="L1236" s="1005"/>
      <c r="M1236" s="1005"/>
    </row>
    <row r="1237" spans="1:13" ht="15.75" thickBot="1">
      <c r="A1237" s="2256" t="s">
        <v>357</v>
      </c>
      <c r="B1237" s="2257"/>
      <c r="C1237" s="2258"/>
      <c r="D1237" s="1236">
        <f>SUM(D1235+D1236)</f>
        <v>288.94</v>
      </c>
      <c r="E1237" s="2321">
        <f>D1237*0.07</f>
        <v>20.225800000000003</v>
      </c>
      <c r="F1237" s="2322"/>
      <c r="G1237" s="2323"/>
      <c r="H1237" s="1005"/>
      <c r="I1237" s="1005"/>
      <c r="J1237" s="1005"/>
      <c r="K1237" s="1005"/>
      <c r="L1237" s="1005"/>
      <c r="M1237" s="1005"/>
    </row>
    <row r="1238" spans="1:13" ht="15.75" thickBot="1">
      <c r="A1238" s="1006"/>
      <c r="B1238" s="1007"/>
      <c r="C1238" s="1007"/>
      <c r="D1238" s="1007"/>
      <c r="E1238" s="1007"/>
      <c r="F1238" s="1007"/>
      <c r="G1238" s="1008"/>
      <c r="H1238" s="1005"/>
      <c r="I1238" s="1005"/>
      <c r="J1238" s="1005"/>
      <c r="K1238" s="1005"/>
      <c r="L1238" s="1005"/>
      <c r="M1238" s="1005"/>
    </row>
    <row r="1239" spans="1:13" ht="15.75" thickBot="1">
      <c r="A1239" s="1019" t="s">
        <v>1015</v>
      </c>
      <c r="B1239" s="2262" t="s">
        <v>1016</v>
      </c>
      <c r="C1239" s="2263"/>
      <c r="D1239" s="2263"/>
      <c r="E1239" s="2263"/>
      <c r="F1239" s="2263"/>
      <c r="G1239" s="2264"/>
      <c r="H1239" s="1005"/>
      <c r="I1239" s="1005"/>
      <c r="J1239" s="1005"/>
      <c r="K1239" s="1005"/>
      <c r="L1239" s="1005"/>
      <c r="M1239" s="1005"/>
    </row>
    <row r="1240" spans="1:13">
      <c r="A1240" s="2304" t="s">
        <v>320</v>
      </c>
      <c r="B1240" s="2305"/>
      <c r="C1240" s="2305"/>
      <c r="D1240" s="2305"/>
      <c r="E1240" s="2305"/>
      <c r="F1240" s="2305"/>
      <c r="G1240" s="2306"/>
      <c r="H1240" s="1005"/>
      <c r="I1240" s="1005"/>
      <c r="J1240" s="1005"/>
      <c r="K1240" s="1005"/>
      <c r="L1240" s="1005"/>
      <c r="M1240" s="1005"/>
    </row>
    <row r="1241" spans="1:13">
      <c r="A1241" s="2284" t="s">
        <v>1013</v>
      </c>
      <c r="B1241" s="2285"/>
      <c r="C1241" s="2285"/>
      <c r="D1241" s="2285"/>
      <c r="E1241" s="2285"/>
      <c r="F1241" s="2285"/>
      <c r="G1241" s="2286"/>
      <c r="H1241" s="1005"/>
      <c r="I1241" s="1005"/>
      <c r="J1241" s="1005"/>
      <c r="K1241" s="1005"/>
      <c r="L1241" s="1005"/>
      <c r="M1241" s="1005"/>
    </row>
    <row r="1242" spans="1:13">
      <c r="A1242" s="2316" t="s">
        <v>325</v>
      </c>
      <c r="B1242" s="2317"/>
      <c r="C1242" s="1235" t="s">
        <v>671</v>
      </c>
      <c r="D1242" s="1235" t="s">
        <v>395</v>
      </c>
      <c r="E1242" s="2307" t="s">
        <v>323</v>
      </c>
      <c r="F1242" s="2308"/>
      <c r="G1242" s="2309"/>
      <c r="H1242" s="1005"/>
      <c r="I1242" s="1005"/>
      <c r="J1242" s="1005"/>
      <c r="K1242" s="1005"/>
      <c r="L1242" s="1005"/>
      <c r="M1242" s="1005"/>
    </row>
    <row r="1243" spans="1:13">
      <c r="A1243" s="2251" t="s">
        <v>1017</v>
      </c>
      <c r="B1243" s="2252"/>
      <c r="C1243" s="1132">
        <f>27.48+41.78</f>
        <v>69.260000000000005</v>
      </c>
      <c r="D1243" s="1132">
        <f>C1243</f>
        <v>69.260000000000005</v>
      </c>
      <c r="E1243" s="2318"/>
      <c r="F1243" s="2319"/>
      <c r="G1243" s="2320"/>
      <c r="H1243" s="1005"/>
      <c r="I1243" s="1005"/>
      <c r="J1243" s="1005"/>
      <c r="K1243" s="1005"/>
      <c r="L1243" s="1005"/>
      <c r="M1243" s="1005"/>
    </row>
    <row r="1244" spans="1:13" ht="15.75" thickBot="1">
      <c r="A1244" s="2256" t="s">
        <v>357</v>
      </c>
      <c r="B1244" s="2257"/>
      <c r="C1244" s="2258"/>
      <c r="D1244" s="1236">
        <f>SUM(D1243)</f>
        <v>69.260000000000005</v>
      </c>
      <c r="E1244" s="2321"/>
      <c r="F1244" s="2322"/>
      <c r="G1244" s="2323"/>
      <c r="H1244" s="1005"/>
      <c r="I1244" s="1005"/>
      <c r="J1244" s="1005"/>
      <c r="K1244" s="1005"/>
      <c r="L1244" s="1005"/>
      <c r="M1244" s="1005"/>
    </row>
    <row r="1245" spans="1:13" ht="15.75" thickBot="1">
      <c r="A1245" s="1237"/>
      <c r="B1245" s="1114"/>
      <c r="C1245" s="1114"/>
      <c r="D1245" s="1043"/>
      <c r="E1245" s="1238"/>
      <c r="F1245" s="1238"/>
      <c r="G1245" s="1239"/>
      <c r="H1245" s="1005"/>
      <c r="I1245" s="1005"/>
      <c r="J1245" s="1005"/>
      <c r="K1245" s="1005"/>
      <c r="L1245" s="1005"/>
      <c r="M1245" s="1005"/>
    </row>
    <row r="1246" spans="1:13" ht="15.75" thickBot="1">
      <c r="A1246" s="1019" t="s">
        <v>1018</v>
      </c>
      <c r="B1246" s="2262" t="s">
        <v>1019</v>
      </c>
      <c r="C1246" s="2263"/>
      <c r="D1246" s="2263"/>
      <c r="E1246" s="2263"/>
      <c r="F1246" s="2263"/>
      <c r="G1246" s="2264"/>
      <c r="H1246" s="1005"/>
      <c r="I1246" s="1005"/>
      <c r="J1246" s="1005"/>
      <c r="K1246" s="1005"/>
      <c r="L1246" s="1005"/>
      <c r="M1246" s="1005"/>
    </row>
    <row r="1247" spans="1:13">
      <c r="A1247" s="2304" t="s">
        <v>320</v>
      </c>
      <c r="B1247" s="2305"/>
      <c r="C1247" s="2305"/>
      <c r="D1247" s="2305"/>
      <c r="E1247" s="2305"/>
      <c r="F1247" s="2305"/>
      <c r="G1247" s="2306"/>
      <c r="H1247" s="1005"/>
      <c r="I1247" s="1005"/>
      <c r="J1247" s="1005"/>
      <c r="K1247" s="1005"/>
      <c r="L1247" s="1005"/>
      <c r="M1247" s="1005"/>
    </row>
    <row r="1248" spans="1:13">
      <c r="A1248" s="2284" t="s">
        <v>1013</v>
      </c>
      <c r="B1248" s="2285"/>
      <c r="C1248" s="2285"/>
      <c r="D1248" s="2285"/>
      <c r="E1248" s="2285"/>
      <c r="F1248" s="2285"/>
      <c r="G1248" s="2286"/>
      <c r="H1248" s="1005"/>
      <c r="I1248" s="1005"/>
      <c r="J1248" s="1005"/>
      <c r="K1248" s="1005"/>
      <c r="L1248" s="1005"/>
      <c r="M1248" s="1005"/>
    </row>
    <row r="1249" spans="1:13">
      <c r="A1249" s="2316" t="s">
        <v>325</v>
      </c>
      <c r="B1249" s="2317"/>
      <c r="C1249" s="1235" t="s">
        <v>671</v>
      </c>
      <c r="D1249" s="1235" t="s">
        <v>395</v>
      </c>
      <c r="E1249" s="2307" t="s">
        <v>323</v>
      </c>
      <c r="F1249" s="2308"/>
      <c r="G1249" s="2309"/>
      <c r="H1249" s="1005"/>
      <c r="I1249" s="1005"/>
      <c r="J1249" s="1005"/>
      <c r="K1249" s="1005"/>
      <c r="L1249" s="1005"/>
      <c r="M1249" s="1005"/>
    </row>
    <row r="1250" spans="1:13">
      <c r="A1250" s="2334">
        <v>4.17</v>
      </c>
      <c r="B1250" s="2335"/>
      <c r="C1250" s="1132">
        <v>4.17</v>
      </c>
      <c r="D1250" s="1132">
        <f>C1250</f>
        <v>4.17</v>
      </c>
      <c r="E1250" s="2318"/>
      <c r="F1250" s="2319"/>
      <c r="G1250" s="2320"/>
      <c r="H1250" s="1005"/>
      <c r="I1250" s="1005"/>
      <c r="J1250" s="1005"/>
      <c r="K1250" s="1005"/>
      <c r="L1250" s="1005"/>
      <c r="M1250" s="1005"/>
    </row>
    <row r="1251" spans="1:13" ht="15.75" thickBot="1">
      <c r="A1251" s="2256" t="s">
        <v>357</v>
      </c>
      <c r="B1251" s="2257"/>
      <c r="C1251" s="2258"/>
      <c r="D1251" s="1236">
        <f>SUM(D1250)</f>
        <v>4.17</v>
      </c>
      <c r="E1251" s="2321"/>
      <c r="F1251" s="2322"/>
      <c r="G1251" s="2323"/>
      <c r="H1251" s="1005"/>
      <c r="I1251" s="1005"/>
      <c r="J1251" s="1005"/>
      <c r="K1251" s="1005"/>
      <c r="L1251" s="1005"/>
      <c r="M1251" s="1005"/>
    </row>
    <row r="1252" spans="1:13" ht="15.75" thickBot="1">
      <c r="A1252" s="1237"/>
      <c r="B1252" s="1114"/>
      <c r="C1252" s="1114"/>
      <c r="D1252" s="1043"/>
      <c r="E1252" s="1238"/>
      <c r="F1252" s="1238"/>
      <c r="G1252" s="1239"/>
      <c r="H1252" s="1005"/>
      <c r="I1252" s="1005"/>
      <c r="J1252" s="1005"/>
      <c r="K1252" s="1005"/>
      <c r="L1252" s="1005"/>
      <c r="M1252" s="1005"/>
    </row>
    <row r="1253" spans="1:13" ht="15.75" thickBot="1">
      <c r="A1253" s="1019" t="s">
        <v>1020</v>
      </c>
      <c r="B1253" s="2262" t="s">
        <v>1021</v>
      </c>
      <c r="C1253" s="2263"/>
      <c r="D1253" s="2263"/>
      <c r="E1253" s="2263"/>
      <c r="F1253" s="2263"/>
      <c r="G1253" s="2264"/>
      <c r="H1253" s="1005"/>
      <c r="I1253" s="1005"/>
      <c r="J1253" s="1005"/>
      <c r="K1253" s="1005"/>
      <c r="L1253" s="1005"/>
      <c r="M1253" s="1005"/>
    </row>
    <row r="1254" spans="1:13">
      <c r="A1254" s="2265" t="s">
        <v>320</v>
      </c>
      <c r="B1254" s="2266"/>
      <c r="C1254" s="2266"/>
      <c r="D1254" s="2266"/>
      <c r="E1254" s="2266"/>
      <c r="F1254" s="2266"/>
      <c r="G1254" s="2267"/>
      <c r="H1254" s="1005"/>
      <c r="I1254" s="1005"/>
      <c r="J1254" s="1005"/>
      <c r="K1254" s="1005"/>
      <c r="L1254" s="1005"/>
      <c r="M1254" s="1005"/>
    </row>
    <row r="1255" spans="1:13">
      <c r="A1255" s="2284" t="s">
        <v>1013</v>
      </c>
      <c r="B1255" s="2285"/>
      <c r="C1255" s="2285"/>
      <c r="D1255" s="2285"/>
      <c r="E1255" s="2285"/>
      <c r="F1255" s="2285"/>
      <c r="G1255" s="2286"/>
      <c r="H1255" s="1005"/>
      <c r="I1255" s="1005"/>
      <c r="J1255" s="1005"/>
      <c r="K1255" s="1005"/>
      <c r="L1255" s="1005"/>
      <c r="M1255" s="1005"/>
    </row>
    <row r="1256" spans="1:13">
      <c r="A1256" s="1240" t="s">
        <v>325</v>
      </c>
      <c r="B1256" s="1235" t="s">
        <v>322</v>
      </c>
      <c r="C1256" s="1235" t="s">
        <v>375</v>
      </c>
      <c r="D1256" s="1235" t="s">
        <v>380</v>
      </c>
      <c r="E1256" s="2307" t="s">
        <v>323</v>
      </c>
      <c r="F1256" s="2308"/>
      <c r="G1256" s="2309"/>
      <c r="H1256" s="1005"/>
      <c r="I1256" s="1005"/>
      <c r="J1256" s="1005"/>
      <c r="K1256" s="1005"/>
      <c r="L1256" s="1005"/>
      <c r="M1256" s="1005"/>
    </row>
    <row r="1257" spans="1:13" ht="24">
      <c r="A1257" s="1118" t="s">
        <v>1022</v>
      </c>
      <c r="B1257" s="1038" t="s">
        <v>1023</v>
      </c>
      <c r="C1257" s="1038">
        <f>72.98+21.26+99.48+15.52</f>
        <v>209.24000000000004</v>
      </c>
      <c r="D1257" s="1144">
        <f>ROUNDUP(C1257,2)</f>
        <v>209.24</v>
      </c>
      <c r="E1257" s="2310" t="s">
        <v>1024</v>
      </c>
      <c r="F1257" s="2311"/>
      <c r="G1257" s="2312"/>
      <c r="H1257" s="1005"/>
      <c r="I1257" s="1005"/>
      <c r="J1257" s="1005"/>
      <c r="K1257" s="1005"/>
      <c r="L1257" s="1005"/>
      <c r="M1257" s="1005"/>
    </row>
    <row r="1258" spans="1:13" ht="15.75" thickBot="1">
      <c r="A1258" s="2256" t="s">
        <v>357</v>
      </c>
      <c r="B1258" s="2257"/>
      <c r="C1258" s="2257"/>
      <c r="D1258" s="1236">
        <f>ROUNDUP(D1257,2)</f>
        <v>209.24</v>
      </c>
      <c r="E1258" s="2321"/>
      <c r="F1258" s="2322"/>
      <c r="G1258" s="2323"/>
      <c r="H1258" s="1005"/>
      <c r="I1258" s="1005"/>
      <c r="J1258" s="1005"/>
      <c r="K1258" s="1005"/>
      <c r="L1258" s="1005"/>
      <c r="M1258" s="1005"/>
    </row>
    <row r="1259" spans="1:13" ht="15.75" thickBot="1">
      <c r="A1259" s="1006"/>
      <c r="B1259" s="1007"/>
      <c r="C1259" s="1007"/>
      <c r="D1259" s="1007"/>
      <c r="E1259" s="1007"/>
      <c r="F1259" s="1007"/>
      <c r="G1259" s="1008"/>
      <c r="H1259" s="1005"/>
      <c r="I1259" s="1005"/>
      <c r="J1259" s="1005"/>
      <c r="K1259" s="1005"/>
      <c r="L1259" s="1005"/>
      <c r="M1259" s="1005"/>
    </row>
    <row r="1260" spans="1:13" ht="15.75" thickBot="1">
      <c r="A1260" s="1019" t="s">
        <v>1025</v>
      </c>
      <c r="B1260" s="2262" t="s">
        <v>1026</v>
      </c>
      <c r="C1260" s="2263"/>
      <c r="D1260" s="2263"/>
      <c r="E1260" s="2263"/>
      <c r="F1260" s="2263"/>
      <c r="G1260" s="2264"/>
      <c r="H1260" s="1005"/>
      <c r="I1260" s="1005"/>
      <c r="J1260" s="1005"/>
      <c r="K1260" s="1005"/>
      <c r="L1260" s="1005"/>
      <c r="M1260" s="1005"/>
    </row>
    <row r="1261" spans="1:13">
      <c r="A1261" s="2265" t="s">
        <v>320</v>
      </c>
      <c r="B1261" s="2266"/>
      <c r="C1261" s="2266"/>
      <c r="D1261" s="2266"/>
      <c r="E1261" s="2266"/>
      <c r="F1261" s="2266"/>
      <c r="G1261" s="2267"/>
      <c r="H1261" s="1005"/>
      <c r="I1261" s="1005"/>
      <c r="J1261" s="1005"/>
      <c r="K1261" s="1005"/>
      <c r="L1261" s="1005"/>
      <c r="M1261" s="1005"/>
    </row>
    <row r="1262" spans="1:13">
      <c r="A1262" s="2284" t="s">
        <v>1013</v>
      </c>
      <c r="B1262" s="2285"/>
      <c r="C1262" s="2285"/>
      <c r="D1262" s="2285"/>
      <c r="E1262" s="2285"/>
      <c r="F1262" s="2285"/>
      <c r="G1262" s="2286"/>
      <c r="H1262" s="1005"/>
      <c r="I1262" s="1005"/>
      <c r="J1262" s="1005"/>
      <c r="K1262" s="1005"/>
      <c r="L1262" s="1005"/>
      <c r="M1262" s="1005"/>
    </row>
    <row r="1263" spans="1:13">
      <c r="A1263" s="1240" t="s">
        <v>325</v>
      </c>
      <c r="B1263" s="1235" t="s">
        <v>322</v>
      </c>
      <c r="C1263" s="1235" t="s">
        <v>375</v>
      </c>
      <c r="D1263" s="1235" t="s">
        <v>380</v>
      </c>
      <c r="E1263" s="2307" t="s">
        <v>323</v>
      </c>
      <c r="F1263" s="2308"/>
      <c r="G1263" s="2309"/>
      <c r="H1263" s="1005"/>
      <c r="I1263" s="1005"/>
      <c r="J1263" s="1005"/>
      <c r="K1263" s="1005"/>
      <c r="L1263" s="1005"/>
      <c r="M1263" s="1005"/>
    </row>
    <row r="1264" spans="1:13">
      <c r="A1264" s="1118" t="s">
        <v>1027</v>
      </c>
      <c r="B1264" s="1038" t="s">
        <v>1028</v>
      </c>
      <c r="C1264" s="1038">
        <f>72.98+21.26+99.48</f>
        <v>193.72000000000003</v>
      </c>
      <c r="D1264" s="1144">
        <f>ROUNDUP(C1264,2)</f>
        <v>193.72</v>
      </c>
      <c r="E1264" s="2310" t="s">
        <v>1024</v>
      </c>
      <c r="F1264" s="2311"/>
      <c r="G1264" s="2312"/>
      <c r="H1264" s="1005"/>
      <c r="I1264" s="1005"/>
      <c r="J1264" s="1005"/>
      <c r="K1264" s="1005"/>
      <c r="L1264" s="1005"/>
      <c r="M1264" s="1005"/>
    </row>
    <row r="1265" spans="1:13" ht="15.75" thickBot="1">
      <c r="A1265" s="2256" t="s">
        <v>357</v>
      </c>
      <c r="B1265" s="2257"/>
      <c r="C1265" s="2257"/>
      <c r="D1265" s="1236">
        <f>ROUNDUP(D1264,2)</f>
        <v>193.72</v>
      </c>
      <c r="E1265" s="2321"/>
      <c r="F1265" s="2322"/>
      <c r="G1265" s="2323"/>
      <c r="H1265" s="1005"/>
      <c r="I1265" s="1005"/>
      <c r="J1265" s="1005"/>
      <c r="K1265" s="1005"/>
      <c r="L1265" s="1005"/>
      <c r="M1265" s="1005"/>
    </row>
    <row r="1266" spans="1:13" ht="15.75" thickBot="1">
      <c r="A1266" s="2331"/>
      <c r="B1266" s="2332"/>
      <c r="C1266" s="2332"/>
      <c r="D1266" s="2332"/>
      <c r="E1266" s="2332"/>
      <c r="F1266" s="2332"/>
      <c r="G1266" s="2333"/>
      <c r="H1266" s="1005"/>
      <c r="I1266" s="1005"/>
      <c r="J1266" s="1005"/>
      <c r="K1266" s="1005"/>
      <c r="L1266" s="1005"/>
      <c r="M1266" s="1005"/>
    </row>
    <row r="1267" spans="1:13" ht="15.75" thickBot="1">
      <c r="A1267" s="1019" t="s">
        <v>1029</v>
      </c>
      <c r="B1267" s="2262" t="s">
        <v>1030</v>
      </c>
      <c r="C1267" s="2263"/>
      <c r="D1267" s="2263"/>
      <c r="E1267" s="2263"/>
      <c r="F1267" s="2263"/>
      <c r="G1267" s="2264"/>
      <c r="H1267" s="1005"/>
      <c r="I1267" s="1005"/>
      <c r="J1267" s="1005"/>
      <c r="K1267" s="1005"/>
      <c r="L1267" s="1005"/>
      <c r="M1267" s="1005"/>
    </row>
    <row r="1268" spans="1:13">
      <c r="A1268" s="2265" t="s">
        <v>320</v>
      </c>
      <c r="B1268" s="2266"/>
      <c r="C1268" s="2266"/>
      <c r="D1268" s="2266"/>
      <c r="E1268" s="2266"/>
      <c r="F1268" s="2266"/>
      <c r="G1268" s="2267"/>
      <c r="H1268" s="1005"/>
      <c r="I1268" s="1005"/>
      <c r="J1268" s="1005"/>
      <c r="K1268" s="1005"/>
      <c r="L1268" s="1005"/>
      <c r="M1268" s="1005"/>
    </row>
    <row r="1269" spans="1:13">
      <c r="A1269" s="2284" t="s">
        <v>1013</v>
      </c>
      <c r="B1269" s="2285"/>
      <c r="C1269" s="2285"/>
      <c r="D1269" s="2285"/>
      <c r="E1269" s="2285"/>
      <c r="F1269" s="2285"/>
      <c r="G1269" s="2286"/>
      <c r="H1269" s="1005"/>
      <c r="I1269" s="1005"/>
      <c r="J1269" s="1005"/>
      <c r="K1269" s="1005"/>
      <c r="L1269" s="1005"/>
      <c r="M1269" s="1005"/>
    </row>
    <row r="1270" spans="1:13">
      <c r="A1270" s="1240" t="s">
        <v>325</v>
      </c>
      <c r="B1270" s="1235" t="s">
        <v>322</v>
      </c>
      <c r="C1270" s="1235" t="s">
        <v>375</v>
      </c>
      <c r="D1270" s="1235" t="s">
        <v>380</v>
      </c>
      <c r="E1270" s="2307" t="s">
        <v>323</v>
      </c>
      <c r="F1270" s="2308"/>
      <c r="G1270" s="2309"/>
      <c r="H1270" s="1005"/>
      <c r="I1270" s="1005"/>
      <c r="J1270" s="1005"/>
      <c r="K1270" s="1005"/>
      <c r="L1270" s="1005"/>
      <c r="M1270" s="1005"/>
    </row>
    <row r="1271" spans="1:13">
      <c r="A1271" s="1118" t="s">
        <v>1031</v>
      </c>
      <c r="B1271" s="1038">
        <v>15.52</v>
      </c>
      <c r="C1271" s="1038">
        <v>15.52</v>
      </c>
      <c r="D1271" s="1144">
        <f>ROUNDUP(C1271,2)</f>
        <v>15.52</v>
      </c>
      <c r="E1271" s="2310"/>
      <c r="F1271" s="2311"/>
      <c r="G1271" s="2312"/>
      <c r="H1271" s="1005"/>
      <c r="I1271" s="1005"/>
      <c r="J1271" s="1005"/>
      <c r="K1271" s="1005"/>
      <c r="L1271" s="1005"/>
      <c r="M1271" s="1005"/>
    </row>
    <row r="1272" spans="1:13" ht="15.75" thickBot="1">
      <c r="A1272" s="2256" t="s">
        <v>357</v>
      </c>
      <c r="B1272" s="2257"/>
      <c r="C1272" s="2257"/>
      <c r="D1272" s="1236">
        <f>ROUNDUP(D1271,2)</f>
        <v>15.52</v>
      </c>
      <c r="E1272" s="2321"/>
      <c r="F1272" s="2322"/>
      <c r="G1272" s="2323"/>
      <c r="H1272" s="1005"/>
      <c r="I1272" s="1005"/>
      <c r="J1272" s="1005"/>
      <c r="K1272" s="1005"/>
      <c r="L1272" s="1005"/>
      <c r="M1272" s="1005"/>
    </row>
    <row r="1273" spans="1:13" ht="15.75" thickBot="1">
      <c r="A1273" s="1006"/>
      <c r="B1273" s="1007"/>
      <c r="C1273" s="1007"/>
      <c r="D1273" s="1007"/>
      <c r="E1273" s="1007"/>
      <c r="F1273" s="1007"/>
      <c r="G1273" s="1008"/>
      <c r="H1273" s="1005"/>
      <c r="I1273" s="1005"/>
      <c r="J1273" s="1005"/>
      <c r="K1273" s="1005"/>
      <c r="L1273" s="1005"/>
      <c r="M1273" s="1005"/>
    </row>
    <row r="1274" spans="1:13" ht="15.75" thickBot="1">
      <c r="A1274" s="1019" t="s">
        <v>1032</v>
      </c>
      <c r="B1274" s="2262" t="s">
        <v>1033</v>
      </c>
      <c r="C1274" s="2263"/>
      <c r="D1274" s="2263"/>
      <c r="E1274" s="2263"/>
      <c r="F1274" s="2263"/>
      <c r="G1274" s="2264"/>
      <c r="H1274" s="1005"/>
      <c r="I1274" s="1005"/>
      <c r="J1274" s="1005"/>
      <c r="K1274" s="1005"/>
      <c r="L1274" s="1005"/>
      <c r="M1274" s="1005"/>
    </row>
    <row r="1275" spans="1:13">
      <c r="A1275" s="2265" t="s">
        <v>320</v>
      </c>
      <c r="B1275" s="2266"/>
      <c r="C1275" s="2266"/>
      <c r="D1275" s="2266"/>
      <c r="E1275" s="2266"/>
      <c r="F1275" s="2266"/>
      <c r="G1275" s="2267"/>
      <c r="H1275" s="1005"/>
      <c r="I1275" s="1005"/>
      <c r="J1275" s="1005"/>
      <c r="K1275" s="1005"/>
      <c r="L1275" s="1005"/>
      <c r="M1275" s="1005"/>
    </row>
    <row r="1276" spans="1:13">
      <c r="A1276" s="2284" t="s">
        <v>1013</v>
      </c>
      <c r="B1276" s="2285"/>
      <c r="C1276" s="2285"/>
      <c r="D1276" s="2285"/>
      <c r="E1276" s="2285"/>
      <c r="F1276" s="2285"/>
      <c r="G1276" s="2286"/>
      <c r="H1276" s="1005"/>
      <c r="I1276" s="1005"/>
      <c r="J1276" s="1005"/>
      <c r="K1276" s="1005"/>
      <c r="L1276" s="1005"/>
      <c r="M1276" s="1005"/>
    </row>
    <row r="1277" spans="1:13">
      <c r="A1277" s="1240" t="s">
        <v>325</v>
      </c>
      <c r="B1277" s="2307" t="s">
        <v>1034</v>
      </c>
      <c r="C1277" s="2317"/>
      <c r="D1277" s="2307" t="s">
        <v>323</v>
      </c>
      <c r="E1277" s="2308"/>
      <c r="F1277" s="2308"/>
      <c r="G1277" s="2309"/>
      <c r="H1277" s="1005"/>
      <c r="I1277" s="1005"/>
      <c r="J1277" s="1005"/>
      <c r="K1277" s="1005"/>
      <c r="L1277" s="1005"/>
      <c r="M1277" s="1005"/>
    </row>
    <row r="1278" spans="1:13" ht="24">
      <c r="A1278" s="1118" t="s">
        <v>1035</v>
      </c>
      <c r="B1278" s="2327">
        <v>12</v>
      </c>
      <c r="C1278" s="2328"/>
      <c r="D1278" s="2253"/>
      <c r="E1278" s="2254"/>
      <c r="F1278" s="2254"/>
      <c r="G1278" s="2255"/>
      <c r="H1278" s="1005"/>
      <c r="I1278" s="1005"/>
      <c r="J1278" s="1005"/>
      <c r="K1278" s="1005"/>
      <c r="L1278" s="1005"/>
      <c r="M1278" s="1005"/>
    </row>
    <row r="1279" spans="1:13" ht="15.75" thickBot="1">
      <c r="A1279" s="1241" t="s">
        <v>357</v>
      </c>
      <c r="B1279" s="2329">
        <f>SUM(B1278)</f>
        <v>12</v>
      </c>
      <c r="C1279" s="2330"/>
      <c r="D1279" s="1242"/>
      <c r="E1279" s="1059"/>
      <c r="F1279" s="1059"/>
      <c r="G1279" s="1243"/>
      <c r="H1279" s="1005"/>
      <c r="I1279" s="1005"/>
      <c r="J1279" s="1005"/>
      <c r="K1279" s="1005"/>
      <c r="L1279" s="1005"/>
      <c r="M1279" s="1005"/>
    </row>
    <row r="1280" spans="1:13" ht="15.75" thickBot="1">
      <c r="A1280" s="1006"/>
      <c r="B1280" s="1007"/>
      <c r="C1280" s="1007"/>
      <c r="D1280" s="1007"/>
      <c r="E1280" s="1007"/>
      <c r="F1280" s="1007"/>
      <c r="G1280" s="1008"/>
      <c r="H1280" s="1005"/>
      <c r="I1280" s="1005"/>
      <c r="J1280" s="1005"/>
      <c r="K1280" s="1005"/>
      <c r="L1280" s="1005"/>
      <c r="M1280" s="1005"/>
    </row>
    <row r="1281" spans="1:13" ht="15.75" thickBot="1">
      <c r="A1281" s="1019" t="s">
        <v>1036</v>
      </c>
      <c r="B1281" s="2262" t="s">
        <v>1037</v>
      </c>
      <c r="C1281" s="2263"/>
      <c r="D1281" s="2263"/>
      <c r="E1281" s="2263"/>
      <c r="F1281" s="2263"/>
      <c r="G1281" s="2264"/>
      <c r="H1281" s="1005"/>
      <c r="I1281" s="1005"/>
      <c r="J1281" s="1005"/>
      <c r="K1281" s="1005"/>
      <c r="L1281" s="1005"/>
      <c r="M1281" s="1005"/>
    </row>
    <row r="1282" spans="1:13">
      <c r="A1282" s="2265" t="s">
        <v>320</v>
      </c>
      <c r="B1282" s="2266"/>
      <c r="C1282" s="2266"/>
      <c r="D1282" s="2266"/>
      <c r="E1282" s="2266"/>
      <c r="F1282" s="2266"/>
      <c r="G1282" s="2267"/>
      <c r="H1282" s="1005"/>
      <c r="I1282" s="1005"/>
      <c r="J1282" s="1005"/>
      <c r="K1282" s="1005"/>
      <c r="L1282" s="1005"/>
      <c r="M1282" s="1005"/>
    </row>
    <row r="1283" spans="1:13">
      <c r="A1283" s="2284" t="s">
        <v>1013</v>
      </c>
      <c r="B1283" s="2285"/>
      <c r="C1283" s="2285"/>
      <c r="D1283" s="2285"/>
      <c r="E1283" s="2285"/>
      <c r="F1283" s="2285"/>
      <c r="G1283" s="2286"/>
      <c r="H1283" s="1005"/>
      <c r="I1283" s="1005"/>
      <c r="J1283" s="1005"/>
      <c r="K1283" s="1005"/>
      <c r="L1283" s="1005"/>
      <c r="M1283" s="1005"/>
    </row>
    <row r="1284" spans="1:13">
      <c r="A1284" s="1240" t="s">
        <v>325</v>
      </c>
      <c r="B1284" s="2307" t="s">
        <v>1034</v>
      </c>
      <c r="C1284" s="2317"/>
      <c r="D1284" s="2307" t="s">
        <v>323</v>
      </c>
      <c r="E1284" s="2308"/>
      <c r="F1284" s="2308"/>
      <c r="G1284" s="2309"/>
      <c r="H1284" s="1005"/>
      <c r="I1284" s="1005"/>
      <c r="J1284" s="1005"/>
      <c r="K1284" s="1005"/>
      <c r="L1284" s="1005"/>
      <c r="M1284" s="1005"/>
    </row>
    <row r="1285" spans="1:13" ht="24">
      <c r="A1285" s="1118" t="s">
        <v>1035</v>
      </c>
      <c r="B1285" s="2327">
        <v>7</v>
      </c>
      <c r="C1285" s="2328"/>
      <c r="D1285" s="2253"/>
      <c r="E1285" s="2254"/>
      <c r="F1285" s="2254"/>
      <c r="G1285" s="2255"/>
      <c r="H1285" s="1005"/>
      <c r="I1285" s="1005"/>
      <c r="J1285" s="1005"/>
      <c r="K1285" s="1005"/>
      <c r="L1285" s="1005"/>
      <c r="M1285" s="1005"/>
    </row>
    <row r="1286" spans="1:13" ht="15.75" thickBot="1">
      <c r="A1286" s="1241" t="s">
        <v>357</v>
      </c>
      <c r="B1286" s="2329">
        <f>SUM(B1285)</f>
        <v>7</v>
      </c>
      <c r="C1286" s="2330"/>
      <c r="D1286" s="1242"/>
      <c r="E1286" s="1059"/>
      <c r="F1286" s="1059"/>
      <c r="G1286" s="1243"/>
      <c r="H1286" s="1005"/>
      <c r="I1286" s="1005"/>
      <c r="J1286" s="1005"/>
      <c r="K1286" s="1005"/>
      <c r="L1286" s="1005"/>
      <c r="M1286" s="1005"/>
    </row>
    <row r="1287" spans="1:13" ht="15.75" thickBot="1">
      <c r="A1287" s="1195"/>
      <c r="B1287" s="1244"/>
      <c r="C1287" s="1244"/>
      <c r="D1287" s="1245"/>
      <c r="E1287" s="1245"/>
      <c r="F1287" s="1245"/>
      <c r="G1287" s="1246"/>
      <c r="H1287" s="1005"/>
      <c r="I1287" s="1005"/>
      <c r="J1287" s="1005"/>
      <c r="K1287" s="1005"/>
      <c r="L1287" s="1005"/>
      <c r="M1287" s="1005"/>
    </row>
    <row r="1288" spans="1:13" ht="15.75" thickBot="1">
      <c r="A1288" s="2331"/>
      <c r="B1288" s="2332"/>
      <c r="C1288" s="2332"/>
      <c r="D1288" s="2332"/>
      <c r="E1288" s="2332"/>
      <c r="F1288" s="2332"/>
      <c r="G1288" s="2333"/>
      <c r="H1288" s="1005"/>
      <c r="I1288" s="1005"/>
      <c r="J1288" s="1005"/>
      <c r="K1288" s="1005"/>
      <c r="L1288" s="1005"/>
      <c r="M1288" s="1005"/>
    </row>
    <row r="1289" spans="1:13" ht="15.75" thickBot="1">
      <c r="A1289" s="1019" t="s">
        <v>1038</v>
      </c>
      <c r="B1289" s="2262" t="s">
        <v>1039</v>
      </c>
      <c r="C1289" s="2263"/>
      <c r="D1289" s="2263"/>
      <c r="E1289" s="2263"/>
      <c r="F1289" s="2263"/>
      <c r="G1289" s="2264"/>
      <c r="H1289" s="1005"/>
      <c r="I1289" s="1005"/>
      <c r="J1289" s="1005"/>
      <c r="K1289" s="1005"/>
      <c r="L1289" s="1005"/>
      <c r="M1289" s="1005"/>
    </row>
    <row r="1290" spans="1:13">
      <c r="A1290" s="2281" t="s">
        <v>320</v>
      </c>
      <c r="B1290" s="2282"/>
      <c r="C1290" s="2282"/>
      <c r="D1290" s="2282"/>
      <c r="E1290" s="2282"/>
      <c r="F1290" s="2282"/>
      <c r="G1290" s="2283"/>
      <c r="H1290" s="1005"/>
      <c r="I1290" s="1005"/>
      <c r="J1290" s="1005"/>
      <c r="K1290" s="1005"/>
      <c r="L1290" s="1005"/>
      <c r="M1290" s="1005"/>
    </row>
    <row r="1291" spans="1:13">
      <c r="A1291" s="2284" t="s">
        <v>1013</v>
      </c>
      <c r="B1291" s="2285"/>
      <c r="C1291" s="2285"/>
      <c r="D1291" s="2285"/>
      <c r="E1291" s="2285"/>
      <c r="F1291" s="2285"/>
      <c r="G1291" s="2286"/>
      <c r="H1291" s="1005"/>
      <c r="I1291" s="1005"/>
      <c r="J1291" s="1005"/>
      <c r="K1291" s="1005"/>
      <c r="L1291" s="1005"/>
      <c r="M1291" s="1005"/>
    </row>
    <row r="1292" spans="1:13">
      <c r="A1292" s="1208" t="s">
        <v>671</v>
      </c>
      <c r="B1292" s="1209" t="s">
        <v>1040</v>
      </c>
      <c r="C1292" s="1209" t="s">
        <v>379</v>
      </c>
      <c r="D1292" s="1209" t="s">
        <v>1041</v>
      </c>
      <c r="E1292" s="1247" t="s">
        <v>375</v>
      </c>
      <c r="F1292" s="2296" t="s">
        <v>323</v>
      </c>
      <c r="G1292" s="2297"/>
      <c r="H1292" s="1005"/>
      <c r="I1292" s="1005"/>
      <c r="J1292" s="1005"/>
      <c r="K1292" s="1005"/>
      <c r="L1292" s="1005"/>
      <c r="M1292" s="1005"/>
    </row>
    <row r="1293" spans="1:13">
      <c r="A1293" s="1118" t="s">
        <v>1042</v>
      </c>
      <c r="B1293" s="1232">
        <f>24.9+44.7</f>
        <v>69.599999999999994</v>
      </c>
      <c r="C1293" s="1053">
        <v>0.4</v>
      </c>
      <c r="D1293" s="1248">
        <f>(3.9*2*0.4)+(1.5*0.4)</f>
        <v>3.72</v>
      </c>
      <c r="E1293" s="1249">
        <f>((69.6*0.4))-D1293</f>
        <v>24.12</v>
      </c>
      <c r="F1293" s="2302"/>
      <c r="G1293" s="2303"/>
      <c r="H1293" s="1005"/>
      <c r="I1293" s="1005"/>
      <c r="J1293" s="1005"/>
      <c r="K1293" s="1005"/>
      <c r="L1293" s="1005"/>
      <c r="M1293" s="1005"/>
    </row>
    <row r="1294" spans="1:13" ht="15.75" thickBot="1">
      <c r="A1294" s="2256"/>
      <c r="B1294" s="2257"/>
      <c r="C1294" s="2258"/>
      <c r="D1294" s="1192" t="s">
        <v>357</v>
      </c>
      <c r="E1294" s="1250">
        <f>E1293</f>
        <v>24.12</v>
      </c>
      <c r="F1294" s="1251"/>
      <c r="G1294" s="1252"/>
      <c r="H1294" s="1005"/>
      <c r="I1294" s="1005"/>
      <c r="J1294" s="1005"/>
      <c r="K1294" s="1005"/>
      <c r="L1294" s="1005"/>
      <c r="M1294" s="1005"/>
    </row>
    <row r="1295" spans="1:13" ht="15.75" thickBot="1">
      <c r="A1295" s="1195"/>
      <c r="B1295" s="1244"/>
      <c r="C1295" s="1244"/>
      <c r="D1295" s="1245"/>
      <c r="E1295" s="1245"/>
      <c r="F1295" s="1245"/>
      <c r="G1295" s="1246"/>
      <c r="H1295" s="1005"/>
      <c r="I1295" s="1005"/>
      <c r="J1295" s="1005"/>
      <c r="K1295" s="1005"/>
      <c r="L1295" s="1005"/>
      <c r="M1295" s="1005"/>
    </row>
    <row r="1296" spans="1:13" ht="15.75" thickBot="1">
      <c r="A1296" s="1019" t="s">
        <v>1043</v>
      </c>
      <c r="B1296" s="2262" t="s">
        <v>1044</v>
      </c>
      <c r="C1296" s="2263"/>
      <c r="D1296" s="2263"/>
      <c r="E1296" s="2263"/>
      <c r="F1296" s="2263"/>
      <c r="G1296" s="2264"/>
      <c r="H1296" s="1005"/>
      <c r="I1296" s="1005"/>
      <c r="J1296" s="1005"/>
      <c r="K1296" s="1005"/>
      <c r="L1296" s="1005"/>
      <c r="M1296" s="1005"/>
    </row>
    <row r="1297" spans="1:13">
      <c r="A1297" s="2281" t="s">
        <v>320</v>
      </c>
      <c r="B1297" s="2282"/>
      <c r="C1297" s="2282"/>
      <c r="D1297" s="2282"/>
      <c r="E1297" s="2282"/>
      <c r="F1297" s="2282"/>
      <c r="G1297" s="2283"/>
      <c r="H1297" s="1005"/>
      <c r="I1297" s="1005"/>
      <c r="J1297" s="1005"/>
      <c r="K1297" s="1005"/>
      <c r="L1297" s="1005"/>
      <c r="M1297" s="1005"/>
    </row>
    <row r="1298" spans="1:13">
      <c r="A1298" s="2284" t="s">
        <v>1013</v>
      </c>
      <c r="B1298" s="2285"/>
      <c r="C1298" s="2285"/>
      <c r="D1298" s="2285"/>
      <c r="E1298" s="2285"/>
      <c r="F1298" s="2285"/>
      <c r="G1298" s="2286"/>
      <c r="H1298" s="1005"/>
      <c r="I1298" s="1005"/>
      <c r="J1298" s="1005"/>
      <c r="K1298" s="1005"/>
      <c r="L1298" s="1005"/>
      <c r="M1298" s="1005"/>
    </row>
    <row r="1299" spans="1:13">
      <c r="A1299" s="1208" t="s">
        <v>671</v>
      </c>
      <c r="B1299" s="1209" t="s">
        <v>1040</v>
      </c>
      <c r="C1299" s="1209" t="s">
        <v>379</v>
      </c>
      <c r="D1299" s="1209" t="s">
        <v>1041</v>
      </c>
      <c r="E1299" s="1247" t="s">
        <v>375</v>
      </c>
      <c r="F1299" s="2296" t="s">
        <v>323</v>
      </c>
      <c r="G1299" s="2297"/>
      <c r="H1299" s="1005"/>
      <c r="I1299" s="1005"/>
      <c r="J1299" s="1005"/>
      <c r="K1299" s="1005"/>
      <c r="L1299" s="1005"/>
      <c r="M1299" s="1005"/>
    </row>
    <row r="1300" spans="1:13">
      <c r="A1300" s="1118" t="s">
        <v>1045</v>
      </c>
      <c r="B1300" s="1232">
        <f>((24.9+44.7)*2)</f>
        <v>139.19999999999999</v>
      </c>
      <c r="C1300" s="1053">
        <v>0.4</v>
      </c>
      <c r="D1300" s="1248">
        <f>((3.9*2*0.4)+(1.5*0.4))*2</f>
        <v>7.44</v>
      </c>
      <c r="E1300" s="1249">
        <f>(B1300*C1300)-D1300</f>
        <v>48.24</v>
      </c>
      <c r="F1300" s="2302"/>
      <c r="G1300" s="2303"/>
      <c r="H1300" s="1005"/>
      <c r="I1300" s="1005"/>
      <c r="J1300" s="1005"/>
      <c r="K1300" s="1005"/>
      <c r="L1300" s="1005"/>
      <c r="M1300" s="1005"/>
    </row>
    <row r="1301" spans="1:13">
      <c r="A1301" s="1118" t="s">
        <v>1046</v>
      </c>
      <c r="B1301" s="1232">
        <f>((24.9+44.7))</f>
        <v>69.599999999999994</v>
      </c>
      <c r="C1301" s="1053">
        <v>0.15</v>
      </c>
      <c r="D1301" s="1248"/>
      <c r="E1301" s="1249">
        <f>(B1301*C1301)</f>
        <v>10.44</v>
      </c>
      <c r="F1301" s="2302"/>
      <c r="G1301" s="2303"/>
      <c r="H1301" s="1005"/>
      <c r="I1301" s="1005"/>
      <c r="J1301" s="1005"/>
      <c r="K1301" s="1005"/>
      <c r="L1301" s="1005"/>
      <c r="M1301" s="1005"/>
    </row>
    <row r="1302" spans="1:13" ht="15.75" thickBot="1">
      <c r="A1302" s="2256"/>
      <c r="B1302" s="2257"/>
      <c r="C1302" s="2258"/>
      <c r="D1302" s="1192" t="s">
        <v>357</v>
      </c>
      <c r="E1302" s="1250">
        <f>SUM(E1300:E1301)</f>
        <v>58.68</v>
      </c>
      <c r="F1302" s="1251"/>
      <c r="G1302" s="1252"/>
      <c r="H1302" s="1005"/>
      <c r="I1302" s="1005"/>
      <c r="J1302" s="1005"/>
      <c r="K1302" s="1005"/>
      <c r="L1302" s="1005"/>
      <c r="M1302" s="1005"/>
    </row>
    <row r="1303" spans="1:13" ht="15.75" thickBot="1">
      <c r="A1303" s="1195"/>
      <c r="B1303" s="1244"/>
      <c r="C1303" s="1244"/>
      <c r="D1303" s="1245"/>
      <c r="E1303" s="1245"/>
      <c r="F1303" s="1245"/>
      <c r="G1303" s="1246"/>
      <c r="H1303" s="1005"/>
      <c r="I1303" s="1005"/>
      <c r="J1303" s="1005"/>
      <c r="K1303" s="1005"/>
      <c r="L1303" s="1005"/>
      <c r="M1303" s="1005"/>
    </row>
    <row r="1304" spans="1:13" ht="15.75" thickBot="1">
      <c r="A1304" s="1019" t="s">
        <v>1047</v>
      </c>
      <c r="B1304" s="2262" t="s">
        <v>1048</v>
      </c>
      <c r="C1304" s="2263"/>
      <c r="D1304" s="2263"/>
      <c r="E1304" s="2263"/>
      <c r="F1304" s="2263"/>
      <c r="G1304" s="2264"/>
      <c r="H1304" s="1005"/>
      <c r="I1304" s="1005"/>
      <c r="J1304" s="1005"/>
      <c r="K1304" s="1005"/>
      <c r="L1304" s="1005"/>
      <c r="M1304" s="1005"/>
    </row>
    <row r="1305" spans="1:13">
      <c r="A1305" s="2281" t="s">
        <v>320</v>
      </c>
      <c r="B1305" s="2282"/>
      <c r="C1305" s="2282"/>
      <c r="D1305" s="2282"/>
      <c r="E1305" s="2282"/>
      <c r="F1305" s="2282"/>
      <c r="G1305" s="2283"/>
      <c r="H1305" s="1005"/>
      <c r="I1305" s="1005"/>
      <c r="J1305" s="1005"/>
      <c r="K1305" s="1005"/>
      <c r="L1305" s="1005"/>
      <c r="M1305" s="1005"/>
    </row>
    <row r="1306" spans="1:13">
      <c r="A1306" s="2284" t="s">
        <v>1013</v>
      </c>
      <c r="B1306" s="2285"/>
      <c r="C1306" s="2285"/>
      <c r="D1306" s="2285"/>
      <c r="E1306" s="2285"/>
      <c r="F1306" s="2285"/>
      <c r="G1306" s="2286"/>
      <c r="H1306" s="1005"/>
      <c r="I1306" s="1005"/>
      <c r="J1306" s="1005"/>
      <c r="K1306" s="1005"/>
      <c r="L1306" s="1005"/>
      <c r="M1306" s="1005"/>
    </row>
    <row r="1307" spans="1:13">
      <c r="A1307" s="1208" t="s">
        <v>671</v>
      </c>
      <c r="B1307" s="1209" t="s">
        <v>1040</v>
      </c>
      <c r="C1307" s="1209" t="s">
        <v>379</v>
      </c>
      <c r="D1307" s="1209" t="s">
        <v>1041</v>
      </c>
      <c r="E1307" s="1247" t="s">
        <v>375</v>
      </c>
      <c r="F1307" s="2296" t="s">
        <v>323</v>
      </c>
      <c r="G1307" s="2297"/>
      <c r="H1307" s="1005"/>
      <c r="I1307" s="1005"/>
      <c r="J1307" s="1005"/>
      <c r="K1307" s="1005"/>
      <c r="L1307" s="1005"/>
      <c r="M1307" s="1005"/>
    </row>
    <row r="1308" spans="1:13">
      <c r="A1308" s="1118" t="s">
        <v>1045</v>
      </c>
      <c r="B1308" s="1232">
        <f>((24.9+44.7)*2)</f>
        <v>139.19999999999999</v>
      </c>
      <c r="C1308" s="1053">
        <v>0.4</v>
      </c>
      <c r="D1308" s="1248">
        <f>((3.9*2*0.4)+(1.5*0.4))*2</f>
        <v>7.44</v>
      </c>
      <c r="E1308" s="1249">
        <f>(B1308*C1308)-D1308</f>
        <v>48.24</v>
      </c>
      <c r="F1308" s="2302"/>
      <c r="G1308" s="2303"/>
      <c r="H1308" s="1005"/>
      <c r="I1308" s="1005"/>
      <c r="J1308" s="1005"/>
      <c r="K1308" s="1005"/>
      <c r="L1308" s="1005"/>
      <c r="M1308" s="1005"/>
    </row>
    <row r="1309" spans="1:13">
      <c r="A1309" s="1118" t="s">
        <v>1046</v>
      </c>
      <c r="B1309" s="1232">
        <f>((24.9+44.7))</f>
        <v>69.599999999999994</v>
      </c>
      <c r="C1309" s="1053">
        <v>0.15</v>
      </c>
      <c r="D1309" s="1248"/>
      <c r="E1309" s="1249">
        <f>(B1309*C1309)</f>
        <v>10.44</v>
      </c>
      <c r="F1309" s="2302"/>
      <c r="G1309" s="2303"/>
      <c r="H1309" s="1005"/>
      <c r="I1309" s="1005"/>
      <c r="J1309" s="1005"/>
      <c r="K1309" s="1005"/>
      <c r="L1309" s="1005"/>
      <c r="M1309" s="1005"/>
    </row>
    <row r="1310" spans="1:13" ht="15.75" thickBot="1">
      <c r="A1310" s="2256"/>
      <c r="B1310" s="2257"/>
      <c r="C1310" s="2258"/>
      <c r="D1310" s="1192" t="s">
        <v>357</v>
      </c>
      <c r="E1310" s="1250">
        <f>SUM(E1308:E1309)</f>
        <v>58.68</v>
      </c>
      <c r="F1310" s="1251"/>
      <c r="G1310" s="1252"/>
      <c r="H1310" s="1005"/>
      <c r="I1310" s="1005"/>
      <c r="J1310" s="1005"/>
      <c r="K1310" s="1005"/>
      <c r="L1310" s="1005"/>
      <c r="M1310" s="1005"/>
    </row>
    <row r="1311" spans="1:13" ht="15.75" thickBot="1">
      <c r="A1311" s="1195"/>
      <c r="B1311" s="1244"/>
      <c r="C1311" s="1244"/>
      <c r="D1311" s="1245"/>
      <c r="E1311" s="1245"/>
      <c r="F1311" s="1245"/>
      <c r="G1311" s="1246"/>
      <c r="H1311" s="1005"/>
      <c r="I1311" s="1005"/>
      <c r="J1311" s="1005"/>
      <c r="K1311" s="1005"/>
      <c r="L1311" s="1005"/>
      <c r="M1311" s="1005"/>
    </row>
    <row r="1312" spans="1:13" ht="15.75" thickBot="1">
      <c r="A1312" s="1019" t="s">
        <v>1049</v>
      </c>
      <c r="B1312" s="2262" t="s">
        <v>1050</v>
      </c>
      <c r="C1312" s="2263"/>
      <c r="D1312" s="2263"/>
      <c r="E1312" s="2263"/>
      <c r="F1312" s="2263"/>
      <c r="G1312" s="2264"/>
      <c r="H1312" s="1005"/>
      <c r="I1312" s="1005"/>
      <c r="J1312" s="1005"/>
      <c r="K1312" s="1005"/>
      <c r="L1312" s="1005"/>
      <c r="M1312" s="1005"/>
    </row>
    <row r="1313" spans="1:13">
      <c r="A1313" s="2281" t="s">
        <v>320</v>
      </c>
      <c r="B1313" s="2282"/>
      <c r="C1313" s="2282"/>
      <c r="D1313" s="2282"/>
      <c r="E1313" s="2282"/>
      <c r="F1313" s="2282"/>
      <c r="G1313" s="2283"/>
      <c r="H1313" s="1005"/>
      <c r="I1313" s="1005"/>
      <c r="J1313" s="1005"/>
      <c r="K1313" s="1005"/>
      <c r="L1313" s="1005"/>
      <c r="M1313" s="1005"/>
    </row>
    <row r="1314" spans="1:13">
      <c r="A1314" s="2284" t="s">
        <v>1013</v>
      </c>
      <c r="B1314" s="2285"/>
      <c r="C1314" s="2285"/>
      <c r="D1314" s="2285"/>
      <c r="E1314" s="2285"/>
      <c r="F1314" s="2285"/>
      <c r="G1314" s="2286"/>
      <c r="H1314" s="1005"/>
      <c r="I1314" s="1005"/>
      <c r="J1314" s="1005"/>
      <c r="K1314" s="1005"/>
      <c r="L1314" s="1005"/>
      <c r="M1314" s="1005"/>
    </row>
    <row r="1315" spans="1:13">
      <c r="A1315" s="1208" t="s">
        <v>671</v>
      </c>
      <c r="B1315" s="1209" t="s">
        <v>1040</v>
      </c>
      <c r="C1315" s="1209" t="s">
        <v>379</v>
      </c>
      <c r="D1315" s="1209" t="s">
        <v>1041</v>
      </c>
      <c r="E1315" s="1247" t="s">
        <v>375</v>
      </c>
      <c r="F1315" s="2296" t="s">
        <v>323</v>
      </c>
      <c r="G1315" s="2297"/>
      <c r="H1315" s="1005"/>
      <c r="I1315" s="1005"/>
      <c r="J1315" s="1005"/>
      <c r="K1315" s="1005"/>
      <c r="L1315" s="1005"/>
      <c r="M1315" s="1005"/>
    </row>
    <row r="1316" spans="1:13">
      <c r="A1316" s="1118" t="s">
        <v>1045</v>
      </c>
      <c r="B1316" s="1232">
        <f>((24.9+44.7)*2)</f>
        <v>139.19999999999999</v>
      </c>
      <c r="C1316" s="1053">
        <v>0.4</v>
      </c>
      <c r="D1316" s="1248">
        <f>((3.9*2*0.4)+(1.5*0.4))*2</f>
        <v>7.44</v>
      </c>
      <c r="E1316" s="1249">
        <f>(B1316*C1316)-D1316</f>
        <v>48.24</v>
      </c>
      <c r="F1316" s="2302"/>
      <c r="G1316" s="2303"/>
      <c r="H1316" s="1005"/>
      <c r="I1316" s="1005"/>
      <c r="J1316" s="1005"/>
      <c r="K1316" s="1005"/>
      <c r="L1316" s="1005"/>
      <c r="M1316" s="1005"/>
    </row>
    <row r="1317" spans="1:13">
      <c r="A1317" s="1118" t="s">
        <v>1046</v>
      </c>
      <c r="B1317" s="1232">
        <f>((24.9+44.7))</f>
        <v>69.599999999999994</v>
      </c>
      <c r="C1317" s="1053">
        <v>0.15</v>
      </c>
      <c r="D1317" s="1248"/>
      <c r="E1317" s="1249">
        <f>(B1317*C1317)</f>
        <v>10.44</v>
      </c>
      <c r="F1317" s="2302"/>
      <c r="G1317" s="2303"/>
      <c r="H1317" s="1005"/>
      <c r="I1317" s="1005"/>
      <c r="J1317" s="1005"/>
      <c r="K1317" s="1005"/>
      <c r="L1317" s="1005"/>
      <c r="M1317" s="1005"/>
    </row>
    <row r="1318" spans="1:13" ht="15.75" thickBot="1">
      <c r="A1318" s="2256"/>
      <c r="B1318" s="2257"/>
      <c r="C1318" s="2258"/>
      <c r="D1318" s="1192" t="s">
        <v>357</v>
      </c>
      <c r="E1318" s="1250">
        <f>SUM(E1316:E1317)</f>
        <v>58.68</v>
      </c>
      <c r="F1318" s="1251"/>
      <c r="G1318" s="1252"/>
      <c r="H1318" s="1005"/>
      <c r="I1318" s="1005"/>
      <c r="J1318" s="1005"/>
      <c r="K1318" s="1005"/>
      <c r="L1318" s="1005"/>
      <c r="M1318" s="1005"/>
    </row>
    <row r="1319" spans="1:13" ht="15.75" thickBot="1">
      <c r="A1319" s="1195"/>
      <c r="B1319" s="1244"/>
      <c r="C1319" s="1244"/>
      <c r="D1319" s="1245"/>
      <c r="E1319" s="1245"/>
      <c r="F1319" s="1245"/>
      <c r="G1319" s="1246"/>
      <c r="H1319" s="1005"/>
      <c r="I1319" s="1005"/>
      <c r="J1319" s="1005"/>
      <c r="K1319" s="1005"/>
      <c r="L1319" s="1005"/>
      <c r="M1319" s="1005"/>
    </row>
    <row r="1320" spans="1:13" ht="15.75" thickBot="1">
      <c r="A1320" s="1019" t="s">
        <v>1051</v>
      </c>
      <c r="B1320" s="2262" t="s">
        <v>1052</v>
      </c>
      <c r="C1320" s="2263"/>
      <c r="D1320" s="2263"/>
      <c r="E1320" s="2263"/>
      <c r="F1320" s="2263"/>
      <c r="G1320" s="2264"/>
      <c r="H1320" s="1005"/>
      <c r="I1320" s="1005"/>
      <c r="J1320" s="1005"/>
      <c r="K1320" s="1005"/>
      <c r="L1320" s="1005"/>
      <c r="M1320" s="1005"/>
    </row>
    <row r="1321" spans="1:13">
      <c r="A1321" s="2281" t="s">
        <v>320</v>
      </c>
      <c r="B1321" s="2282"/>
      <c r="C1321" s="2282"/>
      <c r="D1321" s="2282"/>
      <c r="E1321" s="2282"/>
      <c r="F1321" s="2282"/>
      <c r="G1321" s="2283"/>
      <c r="H1321" s="1005"/>
      <c r="I1321" s="1005"/>
      <c r="J1321" s="1005"/>
      <c r="K1321" s="1005"/>
      <c r="L1321" s="1005"/>
      <c r="M1321" s="1005"/>
    </row>
    <row r="1322" spans="1:13">
      <c r="A1322" s="2284" t="s">
        <v>1013</v>
      </c>
      <c r="B1322" s="2285"/>
      <c r="C1322" s="2285"/>
      <c r="D1322" s="2285"/>
      <c r="E1322" s="2285"/>
      <c r="F1322" s="2285"/>
      <c r="G1322" s="2286"/>
      <c r="H1322" s="1005"/>
      <c r="I1322" s="1005"/>
      <c r="J1322" s="1005"/>
      <c r="K1322" s="1005"/>
      <c r="L1322" s="1005"/>
      <c r="M1322" s="1005"/>
    </row>
    <row r="1323" spans="1:13">
      <c r="A1323" s="1208" t="s">
        <v>671</v>
      </c>
      <c r="B1323" s="1209" t="s">
        <v>1040</v>
      </c>
      <c r="C1323" s="1209" t="s">
        <v>379</v>
      </c>
      <c r="D1323" s="1209" t="s">
        <v>1041</v>
      </c>
      <c r="E1323" s="1247" t="s">
        <v>375</v>
      </c>
      <c r="F1323" s="2296" t="s">
        <v>323</v>
      </c>
      <c r="G1323" s="2297"/>
      <c r="H1323" s="1005"/>
      <c r="I1323" s="1005"/>
      <c r="J1323" s="1005"/>
      <c r="K1323" s="1005"/>
      <c r="L1323" s="1005"/>
      <c r="M1323" s="1005"/>
    </row>
    <row r="1324" spans="1:13">
      <c r="A1324" s="1118" t="s">
        <v>1045</v>
      </c>
      <c r="B1324" s="1232">
        <f>((24.9+44.7)*2)</f>
        <v>139.19999999999999</v>
      </c>
      <c r="C1324" s="1053">
        <v>0.4</v>
      </c>
      <c r="D1324" s="1248">
        <f>((3.9*2*0.4)+(1.5*0.4))*2</f>
        <v>7.44</v>
      </c>
      <c r="E1324" s="1249">
        <f>(B1324*C1324)-D1324</f>
        <v>48.24</v>
      </c>
      <c r="F1324" s="2302"/>
      <c r="G1324" s="2303"/>
      <c r="H1324" s="1005"/>
      <c r="I1324" s="1005"/>
      <c r="J1324" s="1005"/>
      <c r="K1324" s="1005"/>
      <c r="L1324" s="1005"/>
      <c r="M1324" s="1005"/>
    </row>
    <row r="1325" spans="1:13">
      <c r="A1325" s="1118" t="s">
        <v>1046</v>
      </c>
      <c r="B1325" s="1232">
        <f>((24.9+44.7))</f>
        <v>69.599999999999994</v>
      </c>
      <c r="C1325" s="1053">
        <v>0.15</v>
      </c>
      <c r="D1325" s="1248"/>
      <c r="E1325" s="1249">
        <f>(B1325*C1325)</f>
        <v>10.44</v>
      </c>
      <c r="F1325" s="2302"/>
      <c r="G1325" s="2303"/>
      <c r="H1325" s="1005"/>
      <c r="I1325" s="1005"/>
      <c r="J1325" s="1005"/>
      <c r="K1325" s="1005"/>
      <c r="L1325" s="1005"/>
      <c r="M1325" s="1005"/>
    </row>
    <row r="1326" spans="1:13" ht="15.75" thickBot="1">
      <c r="A1326" s="2256"/>
      <c r="B1326" s="2257"/>
      <c r="C1326" s="2258"/>
      <c r="D1326" s="1192" t="s">
        <v>357</v>
      </c>
      <c r="E1326" s="1250">
        <f>SUM(E1324:E1325)</f>
        <v>58.68</v>
      </c>
      <c r="F1326" s="1251"/>
      <c r="G1326" s="1252"/>
      <c r="H1326" s="1005"/>
      <c r="I1326" s="1005"/>
      <c r="J1326" s="1005"/>
      <c r="K1326" s="1005"/>
      <c r="L1326" s="1005"/>
      <c r="M1326" s="1005"/>
    </row>
    <row r="1327" spans="1:13" ht="15.75" thickBot="1">
      <c r="A1327" s="1195"/>
      <c r="B1327" s="1244"/>
      <c r="C1327" s="1244"/>
      <c r="D1327" s="1245"/>
      <c r="E1327" s="1245"/>
      <c r="F1327" s="1245"/>
      <c r="G1327" s="1246"/>
      <c r="H1327" s="1005"/>
      <c r="I1327" s="1005"/>
      <c r="J1327" s="1005"/>
      <c r="K1327" s="1005"/>
      <c r="L1327" s="1005"/>
      <c r="M1327" s="1005"/>
    </row>
    <row r="1328" spans="1:13" ht="15.75" thickBot="1">
      <c r="A1328" s="1019" t="s">
        <v>1053</v>
      </c>
      <c r="B1328" s="2262" t="s">
        <v>1054</v>
      </c>
      <c r="C1328" s="2263"/>
      <c r="D1328" s="2263"/>
      <c r="E1328" s="2263"/>
      <c r="F1328" s="2263"/>
      <c r="G1328" s="2264"/>
      <c r="H1328" s="1005"/>
      <c r="I1328" s="1005"/>
      <c r="J1328" s="1005"/>
      <c r="K1328" s="1005"/>
      <c r="L1328" s="1005"/>
      <c r="M1328" s="1005"/>
    </row>
    <row r="1329" spans="1:13">
      <c r="A1329" s="2281" t="s">
        <v>320</v>
      </c>
      <c r="B1329" s="2282"/>
      <c r="C1329" s="2282"/>
      <c r="D1329" s="2282"/>
      <c r="E1329" s="2282"/>
      <c r="F1329" s="2282"/>
      <c r="G1329" s="2283"/>
      <c r="H1329" s="1005"/>
      <c r="I1329" s="1005"/>
      <c r="J1329" s="1005"/>
      <c r="K1329" s="1005"/>
      <c r="L1329" s="1005"/>
      <c r="M1329" s="1005"/>
    </row>
    <row r="1330" spans="1:13">
      <c r="A1330" s="2284" t="s">
        <v>1013</v>
      </c>
      <c r="B1330" s="2285"/>
      <c r="C1330" s="2285"/>
      <c r="D1330" s="2285"/>
      <c r="E1330" s="2285"/>
      <c r="F1330" s="2285"/>
      <c r="G1330" s="2286"/>
      <c r="H1330" s="1005"/>
      <c r="I1330" s="1005"/>
      <c r="J1330" s="1005"/>
      <c r="K1330" s="1005"/>
      <c r="L1330" s="1005"/>
      <c r="M1330" s="1005"/>
    </row>
    <row r="1331" spans="1:13">
      <c r="A1331" s="1208" t="s">
        <v>671</v>
      </c>
      <c r="B1331" s="1209" t="s">
        <v>1040</v>
      </c>
      <c r="C1331" s="1209" t="s">
        <v>379</v>
      </c>
      <c r="D1331" s="1209" t="s">
        <v>1041</v>
      </c>
      <c r="E1331" s="1247" t="s">
        <v>375</v>
      </c>
      <c r="F1331" s="2296" t="s">
        <v>323</v>
      </c>
      <c r="G1331" s="2297"/>
      <c r="H1331" s="1005"/>
      <c r="I1331" s="1005"/>
      <c r="J1331" s="1005"/>
      <c r="K1331" s="1005"/>
      <c r="L1331" s="1005"/>
      <c r="M1331" s="1005"/>
    </row>
    <row r="1332" spans="1:13">
      <c r="A1332" s="1118" t="s">
        <v>1045</v>
      </c>
      <c r="B1332" s="1232">
        <f>((24.9+44.7)*2)</f>
        <v>139.19999999999999</v>
      </c>
      <c r="C1332" s="1053">
        <v>0.4</v>
      </c>
      <c r="D1332" s="1248">
        <f>((3.9*2*0.4)+(1.5*0.4))*2</f>
        <v>7.44</v>
      </c>
      <c r="E1332" s="1249">
        <f>(B1332*C1332)-D1332</f>
        <v>48.24</v>
      </c>
      <c r="F1332" s="2302"/>
      <c r="G1332" s="2303"/>
      <c r="H1332" s="1005"/>
      <c r="I1332" s="1005"/>
      <c r="J1332" s="1005"/>
      <c r="K1332" s="1005"/>
      <c r="L1332" s="1005"/>
      <c r="M1332" s="1005"/>
    </row>
    <row r="1333" spans="1:13">
      <c r="A1333" s="1118" t="s">
        <v>1046</v>
      </c>
      <c r="B1333" s="1232">
        <f>((24.9+44.7))</f>
        <v>69.599999999999994</v>
      </c>
      <c r="C1333" s="1053">
        <v>0.15</v>
      </c>
      <c r="D1333" s="1248"/>
      <c r="E1333" s="1249">
        <f>(B1333*C1333)</f>
        <v>10.44</v>
      </c>
      <c r="F1333" s="2302"/>
      <c r="G1333" s="2303"/>
      <c r="H1333" s="1005"/>
      <c r="I1333" s="1005"/>
      <c r="J1333" s="1005"/>
      <c r="K1333" s="1005"/>
      <c r="L1333" s="1005"/>
      <c r="M1333" s="1005"/>
    </row>
    <row r="1334" spans="1:13" ht="15.75" thickBot="1">
      <c r="A1334" s="2256"/>
      <c r="B1334" s="2257"/>
      <c r="C1334" s="2258"/>
      <c r="D1334" s="1192" t="s">
        <v>357</v>
      </c>
      <c r="E1334" s="1250">
        <f>SUM(E1332:E1333)</f>
        <v>58.68</v>
      </c>
      <c r="F1334" s="1251"/>
      <c r="G1334" s="1252"/>
      <c r="H1334" s="1005"/>
      <c r="I1334" s="1005"/>
      <c r="J1334" s="1005"/>
      <c r="K1334" s="1005"/>
      <c r="L1334" s="1005"/>
      <c r="M1334" s="1005"/>
    </row>
    <row r="1335" spans="1:13" ht="15.75" thickBot="1">
      <c r="A1335" s="1195"/>
      <c r="B1335" s="1244"/>
      <c r="C1335" s="1244"/>
      <c r="D1335" s="1245"/>
      <c r="E1335" s="1245"/>
      <c r="F1335" s="1245"/>
      <c r="G1335" s="1246"/>
      <c r="H1335" s="1005"/>
      <c r="I1335" s="1005"/>
      <c r="J1335" s="1005"/>
      <c r="K1335" s="1005"/>
      <c r="L1335" s="1005"/>
      <c r="M1335" s="1005"/>
    </row>
    <row r="1336" spans="1:13" ht="15.75" thickBot="1">
      <c r="A1336" s="1019" t="s">
        <v>1055</v>
      </c>
      <c r="B1336" s="2262" t="s">
        <v>1056</v>
      </c>
      <c r="C1336" s="2263"/>
      <c r="D1336" s="2263"/>
      <c r="E1336" s="2263"/>
      <c r="F1336" s="2263"/>
      <c r="G1336" s="2264"/>
      <c r="H1336" s="1005"/>
      <c r="I1336" s="1005"/>
      <c r="J1336" s="1005"/>
      <c r="K1336" s="1005"/>
      <c r="L1336" s="1005"/>
      <c r="M1336" s="1005"/>
    </row>
    <row r="1337" spans="1:13">
      <c r="A1337" s="2281" t="s">
        <v>320</v>
      </c>
      <c r="B1337" s="2282"/>
      <c r="C1337" s="2282"/>
      <c r="D1337" s="2282"/>
      <c r="E1337" s="2282"/>
      <c r="F1337" s="2282"/>
      <c r="G1337" s="2283"/>
      <c r="H1337" s="1005"/>
      <c r="I1337" s="1005"/>
      <c r="J1337" s="1005"/>
      <c r="K1337" s="1005"/>
      <c r="L1337" s="1005"/>
      <c r="M1337" s="1005"/>
    </row>
    <row r="1338" spans="1:13">
      <c r="A1338" s="2284" t="s">
        <v>1013</v>
      </c>
      <c r="B1338" s="2285"/>
      <c r="C1338" s="2285"/>
      <c r="D1338" s="2285"/>
      <c r="E1338" s="2285"/>
      <c r="F1338" s="2285"/>
      <c r="G1338" s="2286"/>
      <c r="H1338" s="1005"/>
      <c r="I1338" s="1005"/>
      <c r="J1338" s="1005"/>
      <c r="K1338" s="1005"/>
      <c r="L1338" s="1005"/>
      <c r="M1338" s="1005"/>
    </row>
    <row r="1339" spans="1:13">
      <c r="A1339" s="1208" t="s">
        <v>671</v>
      </c>
      <c r="B1339" s="1209" t="s">
        <v>1040</v>
      </c>
      <c r="C1339" s="1209" t="s">
        <v>379</v>
      </c>
      <c r="D1339" s="1209" t="s">
        <v>1041</v>
      </c>
      <c r="E1339" s="1247" t="s">
        <v>375</v>
      </c>
      <c r="F1339" s="2296" t="s">
        <v>323</v>
      </c>
      <c r="G1339" s="2297"/>
      <c r="H1339" s="1005"/>
      <c r="I1339" s="1005"/>
      <c r="J1339" s="1005"/>
      <c r="K1339" s="1005"/>
      <c r="L1339" s="1005"/>
      <c r="M1339" s="1005"/>
    </row>
    <row r="1340" spans="1:13">
      <c r="A1340" s="1118" t="s">
        <v>1042</v>
      </c>
      <c r="B1340" s="1232">
        <f>24.9+44.7</f>
        <v>69.599999999999994</v>
      </c>
      <c r="C1340" s="1053">
        <v>2.0299999999999998</v>
      </c>
      <c r="D1340" s="1248">
        <v>9.3000000000000007</v>
      </c>
      <c r="E1340" s="1785">
        <f>((69.6*2.03))-D1340</f>
        <v>131.98799999999997</v>
      </c>
      <c r="F1340" s="2302"/>
      <c r="G1340" s="2303"/>
      <c r="H1340" s="1005"/>
      <c r="I1340" s="1005">
        <f>24.9+44.7</f>
        <v>69.599999999999994</v>
      </c>
      <c r="J1340" s="1005">
        <f>I1340*2.03</f>
        <v>141.28799999999998</v>
      </c>
      <c r="K1340" s="1005">
        <f>J1340-D1340</f>
        <v>131.98799999999997</v>
      </c>
      <c r="L1340" s="1005">
        <f>K1340-122.41</f>
        <v>9.5779999999999745</v>
      </c>
      <c r="M1340" s="1005"/>
    </row>
    <row r="1341" spans="1:13" ht="15.75" thickBot="1">
      <c r="A1341" s="2256"/>
      <c r="B1341" s="2257"/>
      <c r="C1341" s="2258"/>
      <c r="D1341" s="1192" t="s">
        <v>357</v>
      </c>
      <c r="E1341" s="1784">
        <f>E1340</f>
        <v>131.98799999999997</v>
      </c>
      <c r="F1341" s="1253"/>
      <c r="G1341" s="1254"/>
      <c r="H1341" s="1005"/>
      <c r="I1341" s="1005">
        <v>122.41</v>
      </c>
      <c r="J1341" s="1005"/>
      <c r="K1341" s="1101"/>
      <c r="L1341" s="1005"/>
      <c r="M1341" s="1005"/>
    </row>
    <row r="1342" spans="1:13" ht="15.75" thickBot="1">
      <c r="A1342" s="1195"/>
      <c r="B1342" s="1244"/>
      <c r="C1342" s="1244"/>
      <c r="D1342" s="1245"/>
      <c r="E1342" s="1245"/>
      <c r="F1342" s="1245"/>
      <c r="G1342" s="1246"/>
      <c r="H1342" s="1005"/>
      <c r="I1342" s="1005"/>
      <c r="J1342" s="1005"/>
      <c r="K1342" s="1005"/>
      <c r="L1342" s="1005"/>
      <c r="M1342" s="1005"/>
    </row>
    <row r="1343" spans="1:13" ht="15.75" thickBot="1">
      <c r="A1343" s="1019" t="s">
        <v>1057</v>
      </c>
      <c r="B1343" s="2262" t="s">
        <v>1058</v>
      </c>
      <c r="C1343" s="2263"/>
      <c r="D1343" s="2263"/>
      <c r="E1343" s="2263"/>
      <c r="F1343" s="2263"/>
      <c r="G1343" s="2264"/>
      <c r="H1343" s="1005"/>
      <c r="I1343" s="1005"/>
      <c r="J1343" s="1005"/>
      <c r="K1343" s="1005"/>
      <c r="L1343" s="1005"/>
      <c r="M1343" s="1005"/>
    </row>
    <row r="1344" spans="1:13">
      <c r="A1344" s="2324" t="s">
        <v>320</v>
      </c>
      <c r="B1344" s="2325"/>
      <c r="C1344" s="2325"/>
      <c r="D1344" s="2325"/>
      <c r="E1344" s="2325"/>
      <c r="F1344" s="2325"/>
      <c r="G1344" s="2326"/>
      <c r="H1344" s="1005"/>
      <c r="I1344" s="1005"/>
      <c r="J1344" s="1005"/>
      <c r="K1344" s="1005"/>
      <c r="L1344" s="1005"/>
      <c r="M1344" s="1005"/>
    </row>
    <row r="1345" spans="1:13">
      <c r="A1345" s="2284" t="s">
        <v>1013</v>
      </c>
      <c r="B1345" s="2285"/>
      <c r="C1345" s="2285"/>
      <c r="D1345" s="2285"/>
      <c r="E1345" s="2285"/>
      <c r="F1345" s="2285"/>
      <c r="G1345" s="2286"/>
      <c r="H1345" s="1005"/>
      <c r="I1345" s="1005"/>
      <c r="J1345" s="1005"/>
      <c r="K1345" s="1005"/>
      <c r="L1345" s="1005"/>
      <c r="M1345" s="1005"/>
    </row>
    <row r="1346" spans="1:13">
      <c r="A1346" s="2316" t="s">
        <v>325</v>
      </c>
      <c r="B1346" s="2317"/>
      <c r="C1346" s="1235" t="s">
        <v>672</v>
      </c>
      <c r="D1346" s="1235" t="s">
        <v>380</v>
      </c>
      <c r="E1346" s="2307" t="s">
        <v>323</v>
      </c>
      <c r="F1346" s="2308"/>
      <c r="G1346" s="2309"/>
      <c r="H1346" s="1005"/>
      <c r="I1346" s="1005"/>
      <c r="J1346" s="1005"/>
      <c r="K1346" s="1005"/>
      <c r="L1346" s="1005"/>
      <c r="M1346" s="1005"/>
    </row>
    <row r="1347" spans="1:13">
      <c r="A1347" s="2251" t="s">
        <v>670</v>
      </c>
      <c r="B1347" s="2252"/>
      <c r="C1347" s="1132">
        <v>334.18</v>
      </c>
      <c r="D1347" s="1255">
        <v>334.18</v>
      </c>
      <c r="E1347" s="2318"/>
      <c r="F1347" s="2319"/>
      <c r="G1347" s="2320"/>
      <c r="H1347" s="1005"/>
      <c r="I1347" s="1005"/>
      <c r="J1347" s="1005"/>
      <c r="K1347" s="1005"/>
      <c r="L1347" s="1005"/>
      <c r="M1347" s="1005"/>
    </row>
    <row r="1348" spans="1:13" ht="15.75" thickBot="1">
      <c r="A1348" s="2256" t="s">
        <v>357</v>
      </c>
      <c r="B1348" s="2257"/>
      <c r="C1348" s="2258"/>
      <c r="D1348" s="1236">
        <f>SUM(D1347)</f>
        <v>334.18</v>
      </c>
      <c r="E1348" s="2321"/>
      <c r="F1348" s="2322"/>
      <c r="G1348" s="2323"/>
      <c r="H1348" s="1005"/>
      <c r="I1348" s="1005"/>
      <c r="J1348" s="1005"/>
      <c r="K1348" s="1005"/>
      <c r="L1348" s="1005"/>
      <c r="M1348" s="1005"/>
    </row>
    <row r="1349" spans="1:13" ht="15.75" thickBot="1">
      <c r="A1349" s="1195"/>
      <c r="B1349" s="1244"/>
      <c r="C1349" s="1244"/>
      <c r="D1349" s="1245"/>
      <c r="E1349" s="1245"/>
      <c r="F1349" s="1245"/>
      <c r="G1349" s="1246"/>
      <c r="H1349" s="1005"/>
      <c r="I1349" s="1005"/>
      <c r="J1349" s="1005"/>
      <c r="K1349" s="1005"/>
      <c r="L1349" s="1005"/>
      <c r="M1349" s="1005"/>
    </row>
    <row r="1350" spans="1:13" ht="15.75" thickBot="1">
      <c r="A1350" s="1019" t="s">
        <v>1059</v>
      </c>
      <c r="B1350" s="2262" t="s">
        <v>1060</v>
      </c>
      <c r="C1350" s="2263"/>
      <c r="D1350" s="2263"/>
      <c r="E1350" s="2263"/>
      <c r="F1350" s="2263"/>
      <c r="G1350" s="2264"/>
      <c r="H1350" s="1005"/>
      <c r="I1350" s="1005"/>
      <c r="J1350" s="1005"/>
      <c r="K1350" s="1005"/>
      <c r="L1350" s="1005"/>
      <c r="M1350" s="1005"/>
    </row>
    <row r="1351" spans="1:13">
      <c r="A1351" s="2304" t="s">
        <v>320</v>
      </c>
      <c r="B1351" s="2305"/>
      <c r="C1351" s="2305"/>
      <c r="D1351" s="2305"/>
      <c r="E1351" s="2305"/>
      <c r="F1351" s="2305"/>
      <c r="G1351" s="2306"/>
      <c r="H1351" s="1005"/>
      <c r="I1351" s="1005"/>
      <c r="J1351" s="1005"/>
      <c r="K1351" s="1005"/>
      <c r="L1351" s="1005"/>
      <c r="M1351" s="1005"/>
    </row>
    <row r="1352" spans="1:13">
      <c r="A1352" s="2284" t="s">
        <v>1013</v>
      </c>
      <c r="B1352" s="2285"/>
      <c r="C1352" s="2285"/>
      <c r="D1352" s="2285"/>
      <c r="E1352" s="2285"/>
      <c r="F1352" s="2285"/>
      <c r="G1352" s="2286"/>
      <c r="H1352" s="1005"/>
      <c r="I1352" s="1005"/>
      <c r="J1352" s="1005"/>
      <c r="K1352" s="1005"/>
      <c r="L1352" s="1005"/>
      <c r="M1352" s="1005"/>
    </row>
    <row r="1353" spans="1:13">
      <c r="A1353" s="2316" t="s">
        <v>325</v>
      </c>
      <c r="B1353" s="2317"/>
      <c r="C1353" s="1235" t="s">
        <v>410</v>
      </c>
      <c r="D1353" s="1235" t="s">
        <v>380</v>
      </c>
      <c r="E1353" s="2307" t="s">
        <v>323</v>
      </c>
      <c r="F1353" s="2308"/>
      <c r="G1353" s="2309"/>
      <c r="H1353" s="1005"/>
      <c r="I1353" s="1005"/>
      <c r="J1353" s="1005"/>
      <c r="K1353" s="1005"/>
      <c r="L1353" s="1005"/>
      <c r="M1353" s="1005"/>
    </row>
    <row r="1354" spans="1:13">
      <c r="A1354" s="2251" t="s">
        <v>670</v>
      </c>
      <c r="B1354" s="2252"/>
      <c r="C1354" s="1132">
        <v>2.89</v>
      </c>
      <c r="D1354" s="1255">
        <f>2.89*2</f>
        <v>5.78</v>
      </c>
      <c r="E1354" s="2318" t="s">
        <v>1061</v>
      </c>
      <c r="F1354" s="2319"/>
      <c r="G1354" s="2320"/>
      <c r="H1354" s="1005"/>
      <c r="I1354" s="1005"/>
      <c r="J1354" s="1005"/>
      <c r="K1354" s="1005"/>
      <c r="L1354" s="1005"/>
      <c r="M1354" s="1005"/>
    </row>
    <row r="1355" spans="1:13" ht="15.75" thickBot="1">
      <c r="A1355" s="2256" t="s">
        <v>357</v>
      </c>
      <c r="B1355" s="2257"/>
      <c r="C1355" s="2258"/>
      <c r="D1355" s="1236">
        <f>SUM(D1354)</f>
        <v>5.78</v>
      </c>
      <c r="E1355" s="2321"/>
      <c r="F1355" s="2322"/>
      <c r="G1355" s="2323"/>
      <c r="H1355" s="1005"/>
      <c r="I1355" s="1005"/>
      <c r="J1355" s="1005"/>
      <c r="K1355" s="1005"/>
      <c r="L1355" s="1005"/>
      <c r="M1355" s="1005"/>
    </row>
    <row r="1356" spans="1:13" ht="15.75" thickBot="1">
      <c r="A1356" s="1006"/>
      <c r="B1356" s="1007"/>
      <c r="C1356" s="1007"/>
      <c r="D1356" s="1007"/>
      <c r="E1356" s="1007"/>
      <c r="F1356" s="1007"/>
      <c r="G1356" s="1008"/>
      <c r="H1356" s="1005"/>
      <c r="I1356" s="1005"/>
      <c r="J1356" s="1005"/>
      <c r="K1356" s="1005"/>
      <c r="L1356" s="1005"/>
      <c r="M1356" s="1005"/>
    </row>
    <row r="1357" spans="1:13" ht="15.75" thickBot="1">
      <c r="A1357" s="1019" t="s">
        <v>1062</v>
      </c>
      <c r="B1357" s="2262" t="s">
        <v>1063</v>
      </c>
      <c r="C1357" s="2263"/>
      <c r="D1357" s="2263"/>
      <c r="E1357" s="2263"/>
      <c r="F1357" s="2263"/>
      <c r="G1357" s="2264"/>
      <c r="H1357" s="1005"/>
      <c r="I1357" s="1005"/>
      <c r="J1357" s="1005"/>
      <c r="K1357" s="1005"/>
      <c r="L1357" s="1005"/>
      <c r="M1357" s="1005"/>
    </row>
    <row r="1358" spans="1:13">
      <c r="A1358" s="2304" t="s">
        <v>320</v>
      </c>
      <c r="B1358" s="2305"/>
      <c r="C1358" s="2305"/>
      <c r="D1358" s="2305"/>
      <c r="E1358" s="2305"/>
      <c r="F1358" s="2305"/>
      <c r="G1358" s="2306"/>
      <c r="H1358" s="1005"/>
      <c r="I1358" s="1005"/>
      <c r="J1358" s="1005"/>
      <c r="K1358" s="1005"/>
      <c r="L1358" s="1005"/>
      <c r="M1358" s="1005"/>
    </row>
    <row r="1359" spans="1:13">
      <c r="A1359" s="2284" t="s">
        <v>1013</v>
      </c>
      <c r="B1359" s="2285"/>
      <c r="C1359" s="2285"/>
      <c r="D1359" s="2285"/>
      <c r="E1359" s="2285"/>
      <c r="F1359" s="2285"/>
      <c r="G1359" s="2286"/>
      <c r="H1359" s="1005"/>
      <c r="I1359" s="1005"/>
      <c r="J1359" s="1005"/>
      <c r="K1359" s="1005"/>
      <c r="L1359" s="1005"/>
      <c r="M1359" s="1005"/>
    </row>
    <row r="1360" spans="1:13">
      <c r="A1360" s="2316" t="s">
        <v>325</v>
      </c>
      <c r="B1360" s="2317"/>
      <c r="C1360" s="1235" t="s">
        <v>1064</v>
      </c>
      <c r="D1360" s="1235" t="s">
        <v>395</v>
      </c>
      <c r="E1360" s="2307" t="s">
        <v>323</v>
      </c>
      <c r="F1360" s="2308"/>
      <c r="G1360" s="2309"/>
      <c r="H1360" s="1005"/>
      <c r="I1360" s="1005"/>
      <c r="J1360" s="1005"/>
      <c r="K1360" s="1005"/>
      <c r="L1360" s="1005"/>
      <c r="M1360" s="1005"/>
    </row>
    <row r="1361" spans="1:13" ht="25.5" customHeight="1">
      <c r="A1361" s="2251" t="s">
        <v>1065</v>
      </c>
      <c r="B1361" s="2252"/>
      <c r="C1361" s="1132">
        <f>7.7+(4.9*5)+20.8+(5*5)+(5.9*3)+((0.31+1.2+(1.41*6)+0.7))*2</f>
        <v>117.03999999999999</v>
      </c>
      <c r="D1361" s="1255">
        <f>C1361</f>
        <v>117.03999999999999</v>
      </c>
      <c r="E1361" s="2318"/>
      <c r="F1361" s="2319"/>
      <c r="G1361" s="2320"/>
      <c r="H1361" s="1005"/>
      <c r="I1361" s="1005"/>
      <c r="J1361" s="1005"/>
      <c r="K1361" s="1005"/>
      <c r="L1361" s="1005"/>
      <c r="M1361" s="1005"/>
    </row>
    <row r="1362" spans="1:13" ht="15.75" thickBot="1">
      <c r="A1362" s="2256" t="s">
        <v>357</v>
      </c>
      <c r="B1362" s="2257"/>
      <c r="C1362" s="2258"/>
      <c r="D1362" s="1236">
        <f>SUM(D1361)</f>
        <v>117.03999999999999</v>
      </c>
      <c r="E1362" s="2321"/>
      <c r="F1362" s="2322"/>
      <c r="G1362" s="2323"/>
      <c r="H1362" s="1005"/>
      <c r="I1362" s="1005"/>
      <c r="J1362" s="1005"/>
      <c r="K1362" s="1005"/>
      <c r="L1362" s="1005"/>
      <c r="M1362" s="1005"/>
    </row>
    <row r="1363" spans="1:13" ht="15.75" thickBot="1">
      <c r="A1363" s="1006"/>
      <c r="B1363" s="1007"/>
      <c r="C1363" s="1007"/>
      <c r="D1363" s="1007"/>
      <c r="E1363" s="1007"/>
      <c r="F1363" s="1007"/>
      <c r="G1363" s="1008"/>
      <c r="H1363" s="1005"/>
      <c r="I1363" s="1005"/>
      <c r="J1363" s="1005"/>
      <c r="K1363" s="1005"/>
      <c r="L1363" s="1005"/>
      <c r="M1363" s="1005"/>
    </row>
    <row r="1364" spans="1:13" ht="15.75" thickBot="1">
      <c r="A1364" s="1019" t="s">
        <v>1066</v>
      </c>
      <c r="B1364" s="2262" t="s">
        <v>1067</v>
      </c>
      <c r="C1364" s="2263"/>
      <c r="D1364" s="2263"/>
      <c r="E1364" s="2263"/>
      <c r="F1364" s="2263"/>
      <c r="G1364" s="2264"/>
      <c r="H1364" s="1005"/>
      <c r="I1364" s="1005"/>
      <c r="J1364" s="1005"/>
      <c r="K1364" s="1005"/>
      <c r="L1364" s="1005"/>
      <c r="M1364" s="1005"/>
    </row>
    <row r="1365" spans="1:13">
      <c r="A1365" s="2304" t="s">
        <v>320</v>
      </c>
      <c r="B1365" s="2305"/>
      <c r="C1365" s="2305"/>
      <c r="D1365" s="2305"/>
      <c r="E1365" s="2305"/>
      <c r="F1365" s="2305"/>
      <c r="G1365" s="2306"/>
      <c r="H1365" s="1005"/>
      <c r="I1365" s="1005"/>
      <c r="J1365" s="1005"/>
      <c r="K1365" s="1005"/>
      <c r="L1365" s="1005"/>
      <c r="M1365" s="1005"/>
    </row>
    <row r="1366" spans="1:13">
      <c r="A1366" s="2268" t="s">
        <v>1068</v>
      </c>
      <c r="B1366" s="2269"/>
      <c r="C1366" s="2269"/>
      <c r="D1366" s="2269"/>
      <c r="E1366" s="2269"/>
      <c r="F1366" s="2269"/>
      <c r="G1366" s="2270"/>
      <c r="H1366" s="1005"/>
      <c r="I1366" s="1005"/>
      <c r="J1366" s="1005"/>
      <c r="K1366" s="1005"/>
      <c r="L1366" s="1005"/>
      <c r="M1366" s="1005"/>
    </row>
    <row r="1367" spans="1:13">
      <c r="A1367" s="1240" t="s">
        <v>325</v>
      </c>
      <c r="B1367" s="1235" t="s">
        <v>1069</v>
      </c>
      <c r="C1367" s="1235" t="s">
        <v>410</v>
      </c>
      <c r="D1367" s="1235" t="s">
        <v>1070</v>
      </c>
      <c r="E1367" s="2307" t="s">
        <v>323</v>
      </c>
      <c r="F1367" s="2308"/>
      <c r="G1367" s="2309"/>
      <c r="H1367" s="1005"/>
      <c r="I1367" s="1005"/>
      <c r="J1367" s="1005"/>
      <c r="K1367" s="1005"/>
      <c r="L1367" s="1005"/>
      <c r="M1367" s="1005"/>
    </row>
    <row r="1368" spans="1:13" ht="24">
      <c r="A1368" s="1118" t="s">
        <v>1071</v>
      </c>
      <c r="B1368" s="1256">
        <v>248</v>
      </c>
      <c r="C1368" s="1038">
        <f>0.25*0.25</f>
        <v>6.25E-2</v>
      </c>
      <c r="D1368" s="1144">
        <f>ROUNDUP(C1368*B1368,2)</f>
        <v>15.5</v>
      </c>
      <c r="E1368" s="2310" t="s">
        <v>1072</v>
      </c>
      <c r="F1368" s="2311"/>
      <c r="G1368" s="2312"/>
      <c r="H1368" s="1005"/>
      <c r="I1368" s="1005"/>
      <c r="J1368" s="1005"/>
      <c r="K1368" s="1005"/>
      <c r="L1368" s="1005"/>
      <c r="M1368" s="1005"/>
    </row>
    <row r="1369" spans="1:13">
      <c r="A1369" s="1118" t="s">
        <v>1073</v>
      </c>
      <c r="B1369" s="1256">
        <v>63</v>
      </c>
      <c r="C1369" s="1038">
        <f>0.25*0.25</f>
        <v>6.25E-2</v>
      </c>
      <c r="D1369" s="1144">
        <f>ROUNDUP(C1369*B1369,2)</f>
        <v>3.94</v>
      </c>
      <c r="E1369" s="2313"/>
      <c r="F1369" s="2314"/>
      <c r="G1369" s="2315"/>
      <c r="H1369" s="1005"/>
      <c r="I1369" s="1005"/>
      <c r="J1369" s="1005"/>
      <c r="K1369" s="1005"/>
      <c r="L1369" s="1005"/>
      <c r="M1369" s="1005"/>
    </row>
    <row r="1370" spans="1:13" ht="15.75" thickBot="1">
      <c r="A1370" s="1257" t="s">
        <v>357</v>
      </c>
      <c r="B1370" s="1258">
        <f>ROUNDUP(B1369+B1368,2)</f>
        <v>311</v>
      </c>
      <c r="C1370" s="1259"/>
      <c r="D1370" s="1236">
        <f>ROUNDUP(D1369+D1368,2)</f>
        <v>19.440000000000001</v>
      </c>
      <c r="E1370" s="2259"/>
      <c r="F1370" s="2260"/>
      <c r="G1370" s="2261"/>
      <c r="H1370" s="1005"/>
      <c r="I1370" s="1005">
        <f>311*0.25</f>
        <v>77.75</v>
      </c>
      <c r="J1370" s="1005" t="s">
        <v>1556</v>
      </c>
      <c r="K1370" s="1005"/>
      <c r="L1370" s="1005"/>
      <c r="M1370" s="1005"/>
    </row>
    <row r="1371" spans="1:13" ht="15.75" thickBot="1">
      <c r="A1371" s="1006"/>
      <c r="B1371" s="1007"/>
      <c r="C1371" s="1007"/>
      <c r="D1371" s="1007"/>
      <c r="E1371" s="1007"/>
      <c r="F1371" s="1007"/>
      <c r="G1371" s="1008"/>
      <c r="H1371" s="1005"/>
      <c r="I1371" s="1005"/>
      <c r="J1371" s="1005"/>
      <c r="K1371" s="1005"/>
      <c r="L1371" s="1005"/>
      <c r="M1371" s="1005"/>
    </row>
    <row r="1372" spans="1:13" ht="15.75" thickBot="1">
      <c r="A1372" s="1019" t="s">
        <v>1074</v>
      </c>
      <c r="B1372" s="2262" t="s">
        <v>2354</v>
      </c>
      <c r="C1372" s="2263"/>
      <c r="D1372" s="2263"/>
      <c r="E1372" s="2263"/>
      <c r="F1372" s="2263"/>
      <c r="G1372" s="2264"/>
      <c r="H1372" s="1005"/>
      <c r="I1372" s="1005"/>
      <c r="J1372" s="1005"/>
      <c r="K1372" s="1005"/>
      <c r="L1372" s="1005"/>
      <c r="M1372" s="1005"/>
    </row>
    <row r="1373" spans="1:13">
      <c r="A1373" s="2281" t="s">
        <v>320</v>
      </c>
      <c r="B1373" s="2282"/>
      <c r="C1373" s="2282"/>
      <c r="D1373" s="2282"/>
      <c r="E1373" s="2282"/>
      <c r="F1373" s="2282"/>
      <c r="G1373" s="2283"/>
      <c r="H1373" s="1005"/>
      <c r="I1373" s="1005"/>
      <c r="J1373" s="1005"/>
      <c r="K1373" s="1005"/>
      <c r="L1373" s="1005"/>
      <c r="M1373" s="1005"/>
    </row>
    <row r="1374" spans="1:13">
      <c r="A1374" s="2284" t="s">
        <v>1013</v>
      </c>
      <c r="B1374" s="2285"/>
      <c r="C1374" s="2285"/>
      <c r="D1374" s="2285"/>
      <c r="E1374" s="2285"/>
      <c r="F1374" s="2285"/>
      <c r="G1374" s="2286"/>
      <c r="H1374" s="1005"/>
      <c r="I1374" s="1005"/>
      <c r="J1374" s="1005"/>
      <c r="K1374" s="1005"/>
      <c r="L1374" s="1005"/>
      <c r="M1374" s="1005"/>
    </row>
    <row r="1375" spans="1:13">
      <c r="A1375" s="1208" t="s">
        <v>671</v>
      </c>
      <c r="B1375" s="1209" t="s">
        <v>1040</v>
      </c>
      <c r="C1375" s="1209" t="s">
        <v>379</v>
      </c>
      <c r="D1375" s="1209" t="s">
        <v>1041</v>
      </c>
      <c r="E1375" s="1247" t="s">
        <v>375</v>
      </c>
      <c r="F1375" s="2296" t="s">
        <v>323</v>
      </c>
      <c r="G1375" s="2297"/>
      <c r="H1375" s="1005"/>
      <c r="I1375" s="1005"/>
      <c r="J1375" s="1005"/>
      <c r="K1375" s="1005"/>
      <c r="L1375" s="1005"/>
      <c r="M1375" s="1005"/>
    </row>
    <row r="1376" spans="1:13">
      <c r="A1376" s="1118" t="s">
        <v>2355</v>
      </c>
      <c r="B1376" s="1232">
        <f>73.76+38.45</f>
        <v>112.21000000000001</v>
      </c>
      <c r="C1376" s="1531">
        <v>2.5</v>
      </c>
      <c r="D1376" s="1248"/>
      <c r="E1376" s="1249">
        <f>B1376*C1376</f>
        <v>280.52500000000003</v>
      </c>
      <c r="F1376" s="2302"/>
      <c r="G1376" s="2303"/>
      <c r="H1376" s="1005"/>
      <c r="I1376" s="1005"/>
      <c r="J1376" s="1005"/>
      <c r="K1376" s="1005"/>
      <c r="L1376" s="1005"/>
      <c r="M1376" s="1005"/>
    </row>
    <row r="1377" spans="1:13" ht="15.75" thickBot="1">
      <c r="A1377" s="2256"/>
      <c r="B1377" s="2257"/>
      <c r="C1377" s="2258"/>
      <c r="D1377" s="1192" t="s">
        <v>357</v>
      </c>
      <c r="E1377" s="1250">
        <f>E1376</f>
        <v>280.52500000000003</v>
      </c>
      <c r="F1377" s="1253"/>
      <c r="G1377" s="1254"/>
      <c r="H1377" s="1005"/>
      <c r="I1377" s="1005"/>
      <c r="J1377" s="1005"/>
      <c r="K1377" s="1005"/>
      <c r="L1377" s="1005"/>
      <c r="M1377" s="1005"/>
    </row>
    <row r="1378" spans="1:13" ht="15.75" thickBot="1">
      <c r="A1378" s="1006"/>
      <c r="B1378" s="1007"/>
      <c r="C1378" s="1007"/>
      <c r="D1378" s="1007"/>
      <c r="E1378" s="1007"/>
      <c r="F1378" s="1007"/>
      <c r="G1378" s="1008"/>
      <c r="H1378" s="1005"/>
      <c r="I1378" s="1005"/>
      <c r="J1378" s="1005"/>
      <c r="K1378" s="1005"/>
      <c r="L1378" s="1005"/>
      <c r="M1378" s="1005"/>
    </row>
    <row r="1379" spans="1:13" ht="15.75" thickBot="1">
      <c r="A1379" s="1019" t="s">
        <v>1075</v>
      </c>
      <c r="B1379" s="2262" t="s">
        <v>1076</v>
      </c>
      <c r="C1379" s="2263"/>
      <c r="D1379" s="2263"/>
      <c r="E1379" s="2263"/>
      <c r="F1379" s="2263"/>
      <c r="G1379" s="2264"/>
      <c r="H1379" s="1005"/>
      <c r="I1379" s="1005"/>
      <c r="J1379" s="1005"/>
      <c r="K1379" s="1005"/>
      <c r="L1379" s="1005"/>
      <c r="M1379" s="1005"/>
    </row>
    <row r="1380" spans="1:13">
      <c r="A1380" s="2281" t="s">
        <v>320</v>
      </c>
      <c r="B1380" s="2282"/>
      <c r="C1380" s="2282"/>
      <c r="D1380" s="2282"/>
      <c r="E1380" s="2282"/>
      <c r="F1380" s="2282"/>
      <c r="G1380" s="2283"/>
      <c r="H1380" s="1005"/>
      <c r="I1380" s="1005"/>
      <c r="J1380" s="1005"/>
      <c r="K1380" s="1005"/>
      <c r="L1380" s="1005"/>
      <c r="M1380" s="1005"/>
    </row>
    <row r="1381" spans="1:13">
      <c r="A1381" s="2284" t="s">
        <v>1013</v>
      </c>
      <c r="B1381" s="2285"/>
      <c r="C1381" s="2285"/>
      <c r="D1381" s="2285"/>
      <c r="E1381" s="2285"/>
      <c r="F1381" s="2285"/>
      <c r="G1381" s="2286"/>
      <c r="H1381" s="1005"/>
      <c r="I1381" s="1005"/>
      <c r="J1381" s="1005"/>
      <c r="K1381" s="1005"/>
      <c r="L1381" s="1005"/>
      <c r="M1381" s="1005"/>
    </row>
    <row r="1382" spans="1:13">
      <c r="A1382" s="1208" t="s">
        <v>671</v>
      </c>
      <c r="B1382" s="1209" t="s">
        <v>1040</v>
      </c>
      <c r="C1382" s="1209" t="s">
        <v>379</v>
      </c>
      <c r="D1382" s="1209" t="s">
        <v>1041</v>
      </c>
      <c r="E1382" s="1247" t="s">
        <v>375</v>
      </c>
      <c r="F1382" s="2296" t="s">
        <v>323</v>
      </c>
      <c r="G1382" s="2297"/>
      <c r="H1382" s="1005"/>
      <c r="I1382" s="1005"/>
      <c r="J1382" s="1005"/>
      <c r="K1382" s="1005"/>
      <c r="L1382" s="1005"/>
      <c r="M1382" s="1005"/>
    </row>
    <row r="1383" spans="1:13">
      <c r="A1383" s="1118" t="s">
        <v>1077</v>
      </c>
      <c r="B1383" s="1232">
        <f>((73.76+38.25)*2)</f>
        <v>224.02</v>
      </c>
      <c r="C1383" s="1053">
        <v>2.5</v>
      </c>
      <c r="D1383" s="1248"/>
      <c r="E1383" s="1249">
        <f>B1383*C1383</f>
        <v>560.05000000000007</v>
      </c>
      <c r="F1383" s="2302"/>
      <c r="G1383" s="2303"/>
      <c r="H1383" s="1005"/>
      <c r="I1383" s="1005"/>
      <c r="J1383" s="1005"/>
      <c r="K1383" s="1005"/>
      <c r="L1383" s="1005"/>
      <c r="M1383" s="1005"/>
    </row>
    <row r="1384" spans="1:13">
      <c r="A1384" s="1118" t="s">
        <v>1078</v>
      </c>
      <c r="B1384" s="1232">
        <f>(73.76+38.25)</f>
        <v>112.01</v>
      </c>
      <c r="C1384" s="1053">
        <v>0.15</v>
      </c>
      <c r="D1384" s="1248"/>
      <c r="E1384" s="1249">
        <f>B1384*C1384</f>
        <v>16.801500000000001</v>
      </c>
      <c r="F1384" s="1017"/>
      <c r="G1384" s="1018"/>
      <c r="H1384" s="1005"/>
      <c r="I1384" s="1005"/>
      <c r="J1384" s="1005"/>
      <c r="K1384" s="1005"/>
      <c r="L1384" s="1005"/>
      <c r="M1384" s="1005"/>
    </row>
    <row r="1385" spans="1:13" ht="15.75" thickBot="1">
      <c r="A1385" s="2256"/>
      <c r="B1385" s="2257"/>
      <c r="C1385" s="2258"/>
      <c r="D1385" s="1192" t="s">
        <v>357</v>
      </c>
      <c r="E1385" s="1250">
        <f>SUM(E1383:E1384)</f>
        <v>576.8515000000001</v>
      </c>
      <c r="F1385" s="1251"/>
      <c r="G1385" s="1252"/>
      <c r="H1385" s="1005"/>
      <c r="I1385" s="1005"/>
      <c r="J1385" s="1005"/>
      <c r="K1385" s="1005"/>
      <c r="L1385" s="1005"/>
      <c r="M1385" s="1005"/>
    </row>
    <row r="1386" spans="1:13" ht="15.75" thickBot="1">
      <c r="A1386" s="1006"/>
      <c r="B1386" s="1007"/>
      <c r="C1386" s="1007"/>
      <c r="D1386" s="1007"/>
      <c r="E1386" s="1007"/>
      <c r="F1386" s="1007"/>
      <c r="G1386" s="1008"/>
      <c r="H1386" s="1005"/>
      <c r="I1386" s="1005"/>
      <c r="J1386" s="1005"/>
      <c r="K1386" s="1005"/>
      <c r="L1386" s="1005"/>
      <c r="M1386" s="1005"/>
    </row>
    <row r="1387" spans="1:13" ht="15.75" thickBot="1">
      <c r="A1387" s="1019" t="s">
        <v>1079</v>
      </c>
      <c r="B1387" s="2262" t="s">
        <v>2190</v>
      </c>
      <c r="C1387" s="2263"/>
      <c r="D1387" s="2263"/>
      <c r="E1387" s="2263"/>
      <c r="F1387" s="2263"/>
      <c r="G1387" s="2264"/>
      <c r="H1387" s="1005"/>
      <c r="I1387" s="1277"/>
      <c r="J1387" s="1005"/>
      <c r="K1387" s="1005"/>
      <c r="L1387" s="1005"/>
      <c r="M1387" s="1005"/>
    </row>
    <row r="1388" spans="1:13">
      <c r="A1388" s="2281" t="s">
        <v>320</v>
      </c>
      <c r="B1388" s="2282"/>
      <c r="C1388" s="2282"/>
      <c r="D1388" s="2282"/>
      <c r="E1388" s="2282"/>
      <c r="F1388" s="2282"/>
      <c r="G1388" s="2283"/>
      <c r="H1388" s="1005"/>
      <c r="I1388" s="1005"/>
      <c r="J1388" s="1005"/>
      <c r="K1388" s="1005"/>
      <c r="L1388" s="1005"/>
      <c r="M1388" s="1005"/>
    </row>
    <row r="1389" spans="1:13">
      <c r="A1389" s="2284" t="s">
        <v>1013</v>
      </c>
      <c r="B1389" s="2285"/>
      <c r="C1389" s="2285"/>
      <c r="D1389" s="2285"/>
      <c r="E1389" s="2285"/>
      <c r="F1389" s="2285"/>
      <c r="G1389" s="2286"/>
      <c r="H1389" s="1005"/>
      <c r="I1389" s="1005"/>
      <c r="J1389" s="1005"/>
      <c r="K1389" s="1005"/>
      <c r="L1389" s="1005"/>
      <c r="M1389" s="1005"/>
    </row>
    <row r="1390" spans="1:13">
      <c r="A1390" s="1208" t="s">
        <v>671</v>
      </c>
      <c r="B1390" s="1209" t="s">
        <v>1040</v>
      </c>
      <c r="C1390" s="1209" t="s">
        <v>379</v>
      </c>
      <c r="D1390" s="1209" t="s">
        <v>1041</v>
      </c>
      <c r="E1390" s="1247" t="s">
        <v>375</v>
      </c>
      <c r="F1390" s="2296" t="s">
        <v>323</v>
      </c>
      <c r="G1390" s="2297"/>
      <c r="H1390" s="1005"/>
      <c r="I1390" s="1005"/>
      <c r="J1390" s="1005"/>
      <c r="K1390" s="1005"/>
      <c r="L1390" s="1005"/>
      <c r="M1390" s="1005"/>
    </row>
    <row r="1391" spans="1:13">
      <c r="A1391" s="1118" t="s">
        <v>1077</v>
      </c>
      <c r="B1391" s="1232">
        <f>((73.76+38.25)*2)</f>
        <v>224.02</v>
      </c>
      <c r="C1391" s="1053">
        <v>2.5</v>
      </c>
      <c r="D1391" s="1248"/>
      <c r="E1391" s="1249">
        <f>B1391*C1391</f>
        <v>560.05000000000007</v>
      </c>
      <c r="F1391" s="2302"/>
      <c r="G1391" s="2303"/>
      <c r="H1391" s="1005"/>
      <c r="I1391" s="1005"/>
      <c r="J1391" s="1005"/>
      <c r="K1391" s="1005"/>
      <c r="L1391" s="1005"/>
      <c r="M1391" s="1005"/>
    </row>
    <row r="1392" spans="1:13">
      <c r="A1392" s="1118" t="s">
        <v>1078</v>
      </c>
      <c r="B1392" s="1232">
        <f>(73.76+38.25)</f>
        <v>112.01</v>
      </c>
      <c r="C1392" s="1053">
        <v>0.15</v>
      </c>
      <c r="D1392" s="1248"/>
      <c r="E1392" s="1249">
        <f>B1392*C1392</f>
        <v>16.801500000000001</v>
      </c>
      <c r="F1392" s="1017"/>
      <c r="G1392" s="1018"/>
      <c r="H1392" s="1005"/>
      <c r="I1392" s="1005"/>
      <c r="J1392" s="1005"/>
      <c r="K1392" s="1005"/>
      <c r="L1392" s="1005"/>
      <c r="M1392" s="1005"/>
    </row>
    <row r="1393" spans="1:13" ht="15.75" thickBot="1">
      <c r="A1393" s="2256"/>
      <c r="B1393" s="2257"/>
      <c r="C1393" s="2258"/>
      <c r="D1393" s="1192" t="s">
        <v>357</v>
      </c>
      <c r="E1393" s="1250">
        <f>SUM(E1391:E1392)</f>
        <v>576.8515000000001</v>
      </c>
      <c r="F1393" s="1251"/>
      <c r="G1393" s="1252"/>
      <c r="H1393" s="1005"/>
      <c r="I1393" s="1005"/>
      <c r="J1393" s="1005"/>
      <c r="K1393" s="1005"/>
      <c r="L1393" s="1005"/>
      <c r="M1393" s="1005"/>
    </row>
    <row r="1394" spans="1:13" ht="15.75" thickBot="1">
      <c r="A1394" s="1006"/>
      <c r="B1394" s="1007"/>
      <c r="C1394" s="1007"/>
      <c r="D1394" s="1007"/>
      <c r="E1394" s="1007"/>
      <c r="F1394" s="1007"/>
      <c r="G1394" s="1008"/>
      <c r="H1394" s="1005"/>
      <c r="I1394" s="1005"/>
      <c r="J1394" s="1005"/>
      <c r="K1394" s="1005"/>
      <c r="L1394" s="1005"/>
      <c r="M1394" s="1005"/>
    </row>
    <row r="1395" spans="1:13" ht="15.75" thickBot="1">
      <c r="A1395" s="1019" t="s">
        <v>1080</v>
      </c>
      <c r="B1395" s="2262" t="s">
        <v>1082</v>
      </c>
      <c r="C1395" s="2263"/>
      <c r="D1395" s="2263"/>
      <c r="E1395" s="2263"/>
      <c r="F1395" s="2263"/>
      <c r="G1395" s="2264"/>
      <c r="H1395" s="1005"/>
      <c r="I1395" s="1005"/>
      <c r="J1395" s="1005"/>
      <c r="K1395" s="1005"/>
      <c r="L1395" s="1005"/>
      <c r="M1395" s="1005"/>
    </row>
    <row r="1396" spans="1:13">
      <c r="A1396" s="2281" t="s">
        <v>320</v>
      </c>
      <c r="B1396" s="2282"/>
      <c r="C1396" s="2282"/>
      <c r="D1396" s="2282"/>
      <c r="E1396" s="2282"/>
      <c r="F1396" s="2282"/>
      <c r="G1396" s="2283"/>
      <c r="H1396" s="1005"/>
      <c r="I1396" s="1005"/>
      <c r="J1396" s="1005"/>
      <c r="K1396" s="1005"/>
      <c r="L1396" s="1005"/>
      <c r="M1396" s="1005"/>
    </row>
    <row r="1397" spans="1:13">
      <c r="A1397" s="2284" t="s">
        <v>1013</v>
      </c>
      <c r="B1397" s="2285"/>
      <c r="C1397" s="2285"/>
      <c r="D1397" s="2285"/>
      <c r="E1397" s="2285"/>
      <c r="F1397" s="2285"/>
      <c r="G1397" s="2286"/>
      <c r="H1397" s="1005"/>
      <c r="I1397" s="1005"/>
      <c r="J1397" s="1005"/>
      <c r="K1397" s="1005"/>
      <c r="L1397" s="1005"/>
      <c r="M1397" s="1005"/>
    </row>
    <row r="1398" spans="1:13">
      <c r="A1398" s="1208" t="s">
        <v>671</v>
      </c>
      <c r="B1398" s="1209" t="s">
        <v>1040</v>
      </c>
      <c r="C1398" s="1209" t="s">
        <v>379</v>
      </c>
      <c r="D1398" s="1209" t="s">
        <v>1041</v>
      </c>
      <c r="E1398" s="1247" t="s">
        <v>375</v>
      </c>
      <c r="F1398" s="2296" t="s">
        <v>323</v>
      </c>
      <c r="G1398" s="2297"/>
      <c r="H1398" s="1005"/>
      <c r="I1398" s="1005"/>
      <c r="J1398" s="1005"/>
      <c r="K1398" s="1005"/>
      <c r="L1398" s="1005"/>
      <c r="M1398" s="1005"/>
    </row>
    <row r="1399" spans="1:13">
      <c r="A1399" s="1118" t="s">
        <v>1077</v>
      </c>
      <c r="B1399" s="1232">
        <f>((73.76+38.25)*2)</f>
        <v>224.02</v>
      </c>
      <c r="C1399" s="1053">
        <v>2.5</v>
      </c>
      <c r="D1399" s="1248"/>
      <c r="E1399" s="1249">
        <f>B1399*C1399</f>
        <v>560.05000000000007</v>
      </c>
      <c r="F1399" s="2302"/>
      <c r="G1399" s="2303"/>
      <c r="H1399" s="1005"/>
      <c r="I1399" s="1005"/>
      <c r="J1399" s="1005"/>
      <c r="K1399" s="1005"/>
      <c r="L1399" s="1005"/>
      <c r="M1399" s="1005"/>
    </row>
    <row r="1400" spans="1:13">
      <c r="A1400" s="1118" t="s">
        <v>1078</v>
      </c>
      <c r="B1400" s="1232">
        <f>(73.76+38.25)</f>
        <v>112.01</v>
      </c>
      <c r="C1400" s="1053">
        <v>0.15</v>
      </c>
      <c r="D1400" s="1248"/>
      <c r="E1400" s="1249">
        <f>B1400*C1400</f>
        <v>16.801500000000001</v>
      </c>
      <c r="F1400" s="1017"/>
      <c r="G1400" s="1018"/>
      <c r="H1400" s="1005"/>
      <c r="I1400" s="1005"/>
      <c r="J1400" s="1005"/>
      <c r="K1400" s="1005"/>
      <c r="L1400" s="1005"/>
      <c r="M1400" s="1005"/>
    </row>
    <row r="1401" spans="1:13" ht="15.75" thickBot="1">
      <c r="A1401" s="2256"/>
      <c r="B1401" s="2257"/>
      <c r="C1401" s="2258"/>
      <c r="D1401" s="1192" t="s">
        <v>357</v>
      </c>
      <c r="E1401" s="1250">
        <f>SUM(E1399:E1400)</f>
        <v>576.8515000000001</v>
      </c>
      <c r="F1401" s="1251"/>
      <c r="G1401" s="1252"/>
      <c r="H1401" s="1005"/>
      <c r="I1401" s="1005"/>
      <c r="J1401" s="1005"/>
      <c r="K1401" s="1005"/>
      <c r="L1401" s="1005"/>
      <c r="M1401" s="1005"/>
    </row>
    <row r="1402" spans="1:13" ht="15.75" thickBot="1">
      <c r="A1402" s="1006"/>
      <c r="B1402" s="1007"/>
      <c r="C1402" s="1007"/>
      <c r="D1402" s="1007"/>
      <c r="E1402" s="1007"/>
      <c r="F1402" s="1007"/>
      <c r="G1402" s="1008"/>
      <c r="H1402" s="1005"/>
      <c r="I1402" s="1005"/>
      <c r="J1402" s="1005"/>
      <c r="K1402" s="1005"/>
      <c r="L1402" s="1005"/>
      <c r="M1402" s="1005"/>
    </row>
    <row r="1403" spans="1:13" ht="15.75" thickBot="1">
      <c r="A1403" s="1019" t="s">
        <v>1081</v>
      </c>
      <c r="B1403" s="2262" t="s">
        <v>1083</v>
      </c>
      <c r="C1403" s="2263"/>
      <c r="D1403" s="2263"/>
      <c r="E1403" s="2263"/>
      <c r="F1403" s="2263"/>
      <c r="G1403" s="2264"/>
      <c r="H1403" s="1005"/>
      <c r="I1403" s="1005"/>
      <c r="J1403" s="1005"/>
      <c r="K1403" s="1005"/>
      <c r="L1403" s="1005"/>
      <c r="M1403" s="1005"/>
    </row>
    <row r="1404" spans="1:13">
      <c r="A1404" s="2281" t="s">
        <v>320</v>
      </c>
      <c r="B1404" s="2282"/>
      <c r="C1404" s="2282"/>
      <c r="D1404" s="2282"/>
      <c r="E1404" s="2282"/>
      <c r="F1404" s="2282"/>
      <c r="G1404" s="2283"/>
      <c r="H1404" s="1005"/>
      <c r="I1404" s="1005"/>
      <c r="J1404" s="1005"/>
      <c r="K1404" s="1005"/>
      <c r="L1404" s="1005"/>
      <c r="M1404" s="1005"/>
    </row>
    <row r="1405" spans="1:13">
      <c r="A1405" s="2284" t="s">
        <v>1013</v>
      </c>
      <c r="B1405" s="2285"/>
      <c r="C1405" s="2285"/>
      <c r="D1405" s="2285"/>
      <c r="E1405" s="2285"/>
      <c r="F1405" s="2285"/>
      <c r="G1405" s="2286"/>
      <c r="H1405" s="1005"/>
      <c r="I1405" s="1005"/>
      <c r="J1405" s="1005"/>
      <c r="K1405" s="1005"/>
      <c r="L1405" s="1005"/>
      <c r="M1405" s="1005"/>
    </row>
    <row r="1406" spans="1:13">
      <c r="A1406" s="1208" t="s">
        <v>671</v>
      </c>
      <c r="B1406" s="1209" t="s">
        <v>1040</v>
      </c>
      <c r="C1406" s="1209" t="s">
        <v>379</v>
      </c>
      <c r="D1406" s="1209" t="s">
        <v>1041</v>
      </c>
      <c r="E1406" s="1247" t="s">
        <v>375</v>
      </c>
      <c r="F1406" s="2296" t="s">
        <v>323</v>
      </c>
      <c r="G1406" s="2297"/>
      <c r="H1406" s="1005"/>
      <c r="I1406" s="1005"/>
      <c r="J1406" s="1005"/>
      <c r="K1406" s="1005"/>
      <c r="L1406" s="1005"/>
      <c r="M1406" s="1005"/>
    </row>
    <row r="1407" spans="1:13">
      <c r="A1407" s="1118" t="s">
        <v>1077</v>
      </c>
      <c r="B1407" s="1232">
        <f>((73.76+38.25)*2)</f>
        <v>224.02</v>
      </c>
      <c r="C1407" s="1053">
        <v>2.5</v>
      </c>
      <c r="D1407" s="1248"/>
      <c r="E1407" s="1249">
        <f>B1407*C1407</f>
        <v>560.05000000000007</v>
      </c>
      <c r="F1407" s="2302"/>
      <c r="G1407" s="2303"/>
      <c r="H1407" s="1005"/>
      <c r="I1407" s="1005"/>
      <c r="J1407" s="1005"/>
      <c r="K1407" s="1005"/>
      <c r="L1407" s="1005"/>
      <c r="M1407" s="1005"/>
    </row>
    <row r="1408" spans="1:13">
      <c r="A1408" s="1118" t="s">
        <v>1078</v>
      </c>
      <c r="B1408" s="1232">
        <f>(73.76+38.25)</f>
        <v>112.01</v>
      </c>
      <c r="C1408" s="1053">
        <v>0.15</v>
      </c>
      <c r="D1408" s="1248"/>
      <c r="E1408" s="1249">
        <f>B1408*C1408</f>
        <v>16.801500000000001</v>
      </c>
      <c r="F1408" s="1017"/>
      <c r="G1408" s="1018"/>
      <c r="H1408" s="1005"/>
      <c r="I1408" s="1005"/>
      <c r="J1408" s="1005"/>
      <c r="K1408" s="1005"/>
      <c r="L1408" s="1005"/>
      <c r="M1408" s="1005"/>
    </row>
    <row r="1409" spans="1:13" ht="15.75" thickBot="1">
      <c r="A1409" s="2256"/>
      <c r="B1409" s="2257"/>
      <c r="C1409" s="2258"/>
      <c r="D1409" s="1192" t="s">
        <v>357</v>
      </c>
      <c r="E1409" s="1250">
        <f>SUM(E1407:E1408)</f>
        <v>576.8515000000001</v>
      </c>
      <c r="F1409" s="1251"/>
      <c r="G1409" s="1252"/>
      <c r="H1409" s="1005"/>
      <c r="I1409" s="1005"/>
      <c r="J1409" s="1005"/>
      <c r="K1409" s="1005"/>
      <c r="L1409" s="1005"/>
      <c r="M1409" s="1005"/>
    </row>
    <row r="1410" spans="1:13" ht="15.75" thickBot="1">
      <c r="A1410" s="1006"/>
      <c r="B1410" s="1007"/>
      <c r="C1410" s="1007"/>
      <c r="D1410" s="1007"/>
      <c r="E1410" s="1007"/>
      <c r="F1410" s="1007"/>
      <c r="G1410" s="1008"/>
      <c r="H1410" s="1005"/>
      <c r="I1410" s="1005"/>
      <c r="J1410" s="1005"/>
      <c r="K1410" s="1005"/>
      <c r="L1410" s="1005"/>
      <c r="M1410" s="1005"/>
    </row>
    <row r="1411" spans="1:13" ht="15.75" thickBot="1">
      <c r="A1411" s="1019" t="s">
        <v>1084</v>
      </c>
      <c r="B1411" s="2262" t="s">
        <v>1085</v>
      </c>
      <c r="C1411" s="2263"/>
      <c r="D1411" s="2263"/>
      <c r="E1411" s="2263"/>
      <c r="F1411" s="2263"/>
      <c r="G1411" s="2264"/>
      <c r="H1411" s="1005"/>
      <c r="I1411" s="1005"/>
      <c r="J1411" s="1005"/>
      <c r="K1411" s="1005"/>
      <c r="L1411" s="1005"/>
      <c r="M1411" s="1005"/>
    </row>
    <row r="1412" spans="1:13">
      <c r="A1412" s="2281" t="s">
        <v>320</v>
      </c>
      <c r="B1412" s="2282"/>
      <c r="C1412" s="2282"/>
      <c r="D1412" s="2282"/>
      <c r="E1412" s="2282"/>
      <c r="F1412" s="2282"/>
      <c r="G1412" s="2283"/>
      <c r="H1412" s="1005"/>
      <c r="I1412" s="1005"/>
      <c r="J1412" s="1005"/>
      <c r="K1412" s="1005"/>
      <c r="L1412" s="1005"/>
      <c r="M1412" s="1005"/>
    </row>
    <row r="1413" spans="1:13">
      <c r="A1413" s="2268" t="s">
        <v>1086</v>
      </c>
      <c r="B1413" s="2269"/>
      <c r="C1413" s="2269"/>
      <c r="D1413" s="2269"/>
      <c r="E1413" s="2269"/>
      <c r="F1413" s="2269"/>
      <c r="G1413" s="2270"/>
      <c r="H1413" s="1005"/>
      <c r="I1413" s="1005"/>
      <c r="J1413" s="1005"/>
      <c r="K1413" s="1005"/>
      <c r="L1413" s="1005"/>
      <c r="M1413" s="1005"/>
    </row>
    <row r="1414" spans="1:13">
      <c r="A1414" s="1208" t="s">
        <v>671</v>
      </c>
      <c r="B1414" s="1209" t="s">
        <v>1040</v>
      </c>
      <c r="C1414" s="1209" t="s">
        <v>379</v>
      </c>
      <c r="D1414" s="1209" t="s">
        <v>1041</v>
      </c>
      <c r="E1414" s="1247" t="s">
        <v>375</v>
      </c>
      <c r="F1414" s="2296" t="s">
        <v>323</v>
      </c>
      <c r="G1414" s="2297"/>
      <c r="H1414" s="1005"/>
      <c r="I1414" s="1005"/>
      <c r="J1414" s="1005"/>
      <c r="K1414" s="1005"/>
      <c r="L1414" s="1005"/>
      <c r="M1414" s="1005"/>
    </row>
    <row r="1415" spans="1:13">
      <c r="A1415" s="1118" t="s">
        <v>1087</v>
      </c>
      <c r="B1415" s="1232">
        <f>4.23+5.33</f>
        <v>9.56</v>
      </c>
      <c r="C1415" s="1053">
        <v>3.02</v>
      </c>
      <c r="D1415" s="1248"/>
      <c r="E1415" s="1249">
        <f>B1415*C1415</f>
        <v>28.871200000000002</v>
      </c>
      <c r="F1415" s="2298" t="s">
        <v>1088</v>
      </c>
      <c r="G1415" s="2299"/>
      <c r="H1415" s="1005"/>
      <c r="I1415" s="1005"/>
      <c r="J1415" s="1005"/>
      <c r="K1415" s="1005"/>
      <c r="L1415" s="1005"/>
      <c r="M1415" s="1005"/>
    </row>
    <row r="1416" spans="1:13" ht="15.75" thickBot="1">
      <c r="A1416" s="2256"/>
      <c r="B1416" s="2257"/>
      <c r="C1416" s="2258"/>
      <c r="D1416" s="1192" t="s">
        <v>357</v>
      </c>
      <c r="E1416" s="1250">
        <f>SUM(E1415:E1415)</f>
        <v>28.871200000000002</v>
      </c>
      <c r="F1416" s="2300"/>
      <c r="G1416" s="2301"/>
      <c r="H1416" s="1005"/>
      <c r="I1416" s="1005"/>
      <c r="J1416" s="1005"/>
      <c r="K1416" s="1005"/>
      <c r="L1416" s="1005"/>
      <c r="M1416" s="1005"/>
    </row>
    <row r="1417" spans="1:13" ht="15.75" thickBot="1">
      <c r="A1417" s="1006"/>
      <c r="B1417" s="1007"/>
      <c r="C1417" s="1007"/>
      <c r="D1417" s="1007"/>
      <c r="E1417" s="1007"/>
      <c r="F1417" s="1007"/>
      <c r="G1417" s="1008"/>
      <c r="H1417" s="1005"/>
      <c r="I1417" s="1005"/>
      <c r="J1417" s="1005"/>
      <c r="K1417" s="1005"/>
      <c r="L1417" s="1005"/>
      <c r="M1417" s="1005"/>
    </row>
    <row r="1418" spans="1:13" ht="15.75" thickBot="1">
      <c r="A1418" s="1019" t="s">
        <v>1089</v>
      </c>
      <c r="B1418" s="2262" t="s">
        <v>1090</v>
      </c>
      <c r="C1418" s="2263"/>
      <c r="D1418" s="2263"/>
      <c r="E1418" s="2263"/>
      <c r="F1418" s="2263"/>
      <c r="G1418" s="2264"/>
      <c r="H1418" s="1005"/>
      <c r="I1418" s="1005"/>
      <c r="J1418" s="1005"/>
      <c r="K1418" s="1005"/>
      <c r="L1418" s="1005"/>
      <c r="M1418" s="1005"/>
    </row>
    <row r="1419" spans="1:13">
      <c r="A1419" s="2281" t="s">
        <v>320</v>
      </c>
      <c r="B1419" s="2282"/>
      <c r="C1419" s="2282"/>
      <c r="D1419" s="2282"/>
      <c r="E1419" s="2282"/>
      <c r="F1419" s="2282"/>
      <c r="G1419" s="2283"/>
      <c r="H1419" s="1005"/>
      <c r="I1419" s="1005"/>
      <c r="J1419" s="1005"/>
      <c r="K1419" s="1005"/>
      <c r="L1419" s="1005"/>
      <c r="M1419" s="1005"/>
    </row>
    <row r="1420" spans="1:13">
      <c r="A1420" s="2284" t="s">
        <v>1013</v>
      </c>
      <c r="B1420" s="2285"/>
      <c r="C1420" s="2285"/>
      <c r="D1420" s="2285"/>
      <c r="E1420" s="2285"/>
      <c r="F1420" s="2285"/>
      <c r="G1420" s="2286"/>
      <c r="H1420" s="1005"/>
      <c r="I1420" s="1005"/>
      <c r="J1420" s="1005"/>
      <c r="K1420" s="1005"/>
      <c r="L1420" s="1005"/>
      <c r="M1420" s="1005"/>
    </row>
    <row r="1421" spans="1:13">
      <c r="A1421" s="1208" t="s">
        <v>1091</v>
      </c>
      <c r="B1421" s="1209" t="s">
        <v>1069</v>
      </c>
      <c r="C1421" s="2287" t="s">
        <v>323</v>
      </c>
      <c r="D1421" s="2288"/>
      <c r="E1421" s="2288"/>
      <c r="F1421" s="2288"/>
      <c r="G1421" s="2289"/>
      <c r="H1421" s="1005"/>
      <c r="I1421" s="1005"/>
      <c r="J1421" s="1005"/>
      <c r="K1421" s="1005"/>
      <c r="L1421" s="1005"/>
      <c r="M1421" s="1005"/>
    </row>
    <row r="1422" spans="1:13">
      <c r="A1422" s="1260">
        <v>40</v>
      </c>
      <c r="B1422" s="1261">
        <v>4</v>
      </c>
      <c r="C1422" s="2290"/>
      <c r="D1422" s="2291"/>
      <c r="E1422" s="2291"/>
      <c r="F1422" s="2291"/>
      <c r="G1422" s="2292"/>
      <c r="H1422" s="1005"/>
      <c r="I1422" s="1005"/>
      <c r="J1422" s="1005"/>
      <c r="K1422" s="1005"/>
      <c r="L1422" s="1005"/>
      <c r="M1422" s="1005"/>
    </row>
    <row r="1423" spans="1:13">
      <c r="A1423" s="1118">
        <v>20</v>
      </c>
      <c r="B1423" s="1262">
        <v>46</v>
      </c>
      <c r="C1423" s="2293"/>
      <c r="D1423" s="2294"/>
      <c r="E1423" s="2294"/>
      <c r="F1423" s="2294"/>
      <c r="G1423" s="2295"/>
      <c r="H1423" s="1005"/>
      <c r="I1423" s="1005"/>
      <c r="J1423" s="1005"/>
      <c r="K1423" s="1005"/>
      <c r="L1423" s="1005"/>
      <c r="M1423" s="1005"/>
    </row>
    <row r="1424" spans="1:13" ht="15.75" thickBot="1">
      <c r="A1424" s="1263"/>
      <c r="B1424" s="1197"/>
      <c r="C1424" s="1264"/>
      <c r="D1424" s="1264"/>
      <c r="E1424" s="1264"/>
      <c r="F1424" s="1264"/>
      <c r="G1424" s="1265"/>
      <c r="H1424" s="1005"/>
      <c r="I1424" s="1005"/>
      <c r="J1424" s="1005"/>
      <c r="K1424" s="1005"/>
      <c r="L1424" s="1005"/>
      <c r="M1424" s="1005"/>
    </row>
    <row r="1425" spans="1:13" ht="15.75" thickBot="1">
      <c r="A1425" s="1006"/>
      <c r="B1425" s="1007"/>
      <c r="C1425" s="1007"/>
      <c r="D1425" s="1007"/>
      <c r="E1425" s="1007"/>
      <c r="F1425" s="1007"/>
      <c r="G1425" s="1008"/>
      <c r="H1425" s="1005"/>
      <c r="I1425" s="1005"/>
      <c r="J1425" s="1005"/>
      <c r="K1425" s="1005"/>
      <c r="L1425" s="1005"/>
      <c r="M1425" s="1005"/>
    </row>
    <row r="1426" spans="1:13" ht="15.75" thickBot="1">
      <c r="A1426" s="1019">
        <v>22</v>
      </c>
      <c r="B1426" s="2262" t="s">
        <v>413</v>
      </c>
      <c r="C1426" s="2263"/>
      <c r="D1426" s="2263"/>
      <c r="E1426" s="2263"/>
      <c r="F1426" s="2263"/>
      <c r="G1426" s="2264"/>
      <c r="H1426" s="1005"/>
      <c r="I1426" s="1005"/>
      <c r="J1426" s="1005"/>
      <c r="K1426" s="1005"/>
      <c r="L1426" s="1005"/>
      <c r="M1426" s="1005"/>
    </row>
    <row r="1427" spans="1:13" ht="15.75" thickBot="1">
      <c r="A1427" s="1019" t="s">
        <v>1092</v>
      </c>
      <c r="B1427" s="1266" t="s">
        <v>1093</v>
      </c>
      <c r="C1427" s="1267"/>
      <c r="D1427" s="1267"/>
      <c r="E1427" s="1267"/>
      <c r="F1427" s="1267"/>
      <c r="G1427" s="1268"/>
      <c r="H1427" s="1005"/>
      <c r="I1427" s="1005"/>
      <c r="J1427" s="1005"/>
      <c r="K1427" s="1005"/>
      <c r="L1427" s="1005"/>
      <c r="M1427" s="1005"/>
    </row>
    <row r="1428" spans="1:13">
      <c r="A1428" s="2265" t="s">
        <v>320</v>
      </c>
      <c r="B1428" s="2266"/>
      <c r="C1428" s="2266"/>
      <c r="D1428" s="2266"/>
      <c r="E1428" s="2266"/>
      <c r="F1428" s="2266"/>
      <c r="G1428" s="2267"/>
      <c r="H1428" s="1005"/>
      <c r="I1428" s="1005"/>
      <c r="J1428" s="1005"/>
      <c r="K1428" s="1005"/>
      <c r="L1428" s="1005"/>
      <c r="M1428" s="1005"/>
    </row>
    <row r="1429" spans="1:13">
      <c r="A1429" s="2268" t="s">
        <v>414</v>
      </c>
      <c r="B1429" s="2269"/>
      <c r="C1429" s="2269"/>
      <c r="D1429" s="2269"/>
      <c r="E1429" s="2269"/>
      <c r="F1429" s="2269"/>
      <c r="G1429" s="2270"/>
      <c r="H1429" s="1005"/>
      <c r="I1429" s="1005"/>
      <c r="J1429" s="1005"/>
      <c r="K1429" s="1005"/>
      <c r="L1429" s="1005"/>
      <c r="M1429" s="1005"/>
    </row>
    <row r="1430" spans="1:13">
      <c r="A1430" s="2271" t="s">
        <v>408</v>
      </c>
      <c r="B1430" s="2272"/>
      <c r="C1430" s="1035" t="s">
        <v>322</v>
      </c>
      <c r="D1430" s="1035" t="s">
        <v>322</v>
      </c>
      <c r="E1430" s="2273" t="s">
        <v>323</v>
      </c>
      <c r="F1430" s="2274"/>
      <c r="G1430" s="2275"/>
      <c r="H1430" s="1005"/>
      <c r="I1430" s="1005"/>
      <c r="J1430" s="1005"/>
      <c r="K1430" s="1005"/>
      <c r="L1430" s="1005"/>
      <c r="M1430" s="1005"/>
    </row>
    <row r="1431" spans="1:13" ht="26.25" customHeight="1">
      <c r="A1431" s="2276" t="s">
        <v>2371</v>
      </c>
      <c r="B1431" s="2277"/>
      <c r="C1431" s="1533" t="s">
        <v>874</v>
      </c>
      <c r="D1431" s="1071">
        <v>246.05</v>
      </c>
      <c r="E1431" s="2278"/>
      <c r="F1431" s="2279"/>
      <c r="G1431" s="2280"/>
      <c r="H1431" s="1005"/>
      <c r="I1431" s="1005"/>
      <c r="J1431" s="1005"/>
      <c r="K1431" s="1005"/>
      <c r="L1431" s="1005"/>
      <c r="M1431" s="1005"/>
    </row>
    <row r="1432" spans="1:13" ht="26.25" customHeight="1">
      <c r="A1432" s="2276" t="s">
        <v>2372</v>
      </c>
      <c r="B1432" s="2277"/>
      <c r="C1432" s="1533" t="s">
        <v>876</v>
      </c>
      <c r="D1432" s="1071">
        <v>98.67</v>
      </c>
      <c r="E1432" s="2278"/>
      <c r="F1432" s="2279"/>
      <c r="G1432" s="2280"/>
      <c r="H1432" s="1005"/>
      <c r="I1432" s="1005"/>
      <c r="J1432" s="1005"/>
      <c r="K1432" s="1005"/>
      <c r="L1432" s="1005"/>
      <c r="M1432" s="1005"/>
    </row>
    <row r="1433" spans="1:13" ht="15.75" thickBot="1">
      <c r="A1433" s="2256" t="s">
        <v>404</v>
      </c>
      <c r="B1433" s="2257"/>
      <c r="C1433" s="2258"/>
      <c r="D1433" s="1029">
        <f>SUM(D1431:D1432)</f>
        <v>344.72</v>
      </c>
      <c r="E1433" s="2259"/>
      <c r="F1433" s="2260"/>
      <c r="G1433" s="2261"/>
      <c r="H1433" s="1005"/>
      <c r="I1433" s="1005"/>
      <c r="J1433" s="1005"/>
      <c r="K1433" s="1005"/>
      <c r="L1433" s="1005"/>
      <c r="M1433" s="1005"/>
    </row>
    <row r="1434" spans="1:13" ht="15.75" thickBot="1">
      <c r="A1434" s="1269"/>
      <c r="B1434" s="1269"/>
      <c r="C1434" s="1269"/>
      <c r="D1434" s="1269"/>
      <c r="E1434" s="1269"/>
      <c r="F1434" s="1269"/>
      <c r="G1434" s="1269"/>
      <c r="H1434" s="1005"/>
      <c r="I1434" s="1005"/>
      <c r="J1434" s="1005"/>
      <c r="K1434" s="1005"/>
      <c r="L1434" s="1005"/>
      <c r="M1434" s="1005"/>
    </row>
    <row r="1435" spans="1:13" ht="15.75" thickBot="1">
      <c r="A1435" s="1019" t="s">
        <v>1094</v>
      </c>
      <c r="B1435" s="2262" t="s">
        <v>1095</v>
      </c>
      <c r="C1435" s="2263"/>
      <c r="D1435" s="2263"/>
      <c r="E1435" s="2263"/>
      <c r="F1435" s="2263"/>
      <c r="G1435" s="2264"/>
      <c r="H1435" s="1005"/>
      <c r="I1435" s="1005"/>
      <c r="J1435" s="1005"/>
      <c r="K1435" s="1005"/>
      <c r="L1435" s="1005"/>
      <c r="M1435" s="1005"/>
    </row>
    <row r="1436" spans="1:13">
      <c r="A1436" s="2265" t="s">
        <v>320</v>
      </c>
      <c r="B1436" s="2266"/>
      <c r="C1436" s="2266"/>
      <c r="D1436" s="2266"/>
      <c r="E1436" s="2266"/>
      <c r="F1436" s="2266"/>
      <c r="G1436" s="2267"/>
      <c r="H1436" s="1005"/>
      <c r="I1436" s="1005"/>
      <c r="J1436" s="1005"/>
      <c r="K1436" s="1005"/>
      <c r="L1436" s="1005"/>
      <c r="M1436" s="1005"/>
    </row>
    <row r="1437" spans="1:13">
      <c r="A1437" s="2268" t="s">
        <v>414</v>
      </c>
      <c r="B1437" s="2269"/>
      <c r="C1437" s="2269"/>
      <c r="D1437" s="2269"/>
      <c r="E1437" s="2269"/>
      <c r="F1437" s="2269"/>
      <c r="G1437" s="2270"/>
      <c r="H1437" s="1005"/>
      <c r="I1437" s="1005"/>
      <c r="J1437" s="1005"/>
      <c r="K1437" s="1005"/>
      <c r="L1437" s="1005"/>
      <c r="M1437" s="1005"/>
    </row>
    <row r="1438" spans="1:13">
      <c r="A1438" s="2271" t="s">
        <v>408</v>
      </c>
      <c r="B1438" s="2272"/>
      <c r="C1438" s="1035" t="s">
        <v>322</v>
      </c>
      <c r="D1438" s="1035" t="s">
        <v>322</v>
      </c>
      <c r="E1438" s="2273" t="s">
        <v>323</v>
      </c>
      <c r="F1438" s="2274"/>
      <c r="G1438" s="2275"/>
      <c r="H1438" s="1005"/>
      <c r="I1438" s="1005"/>
      <c r="J1438" s="1005"/>
      <c r="K1438" s="1005"/>
      <c r="L1438" s="1005"/>
      <c r="M1438" s="1005"/>
    </row>
    <row r="1439" spans="1:13" ht="24">
      <c r="A1439" s="2251" t="s">
        <v>1096</v>
      </c>
      <c r="B1439" s="2252"/>
      <c r="C1439" s="1095" t="s">
        <v>2352</v>
      </c>
      <c r="D1439" s="1071">
        <f>31.95+13.7+66.73+4.46</f>
        <v>116.83999999999999</v>
      </c>
      <c r="E1439" s="2253"/>
      <c r="F1439" s="2254"/>
      <c r="G1439" s="2255"/>
      <c r="H1439" s="1005"/>
      <c r="I1439" s="1005"/>
      <c r="J1439" s="1005"/>
      <c r="K1439" s="1005"/>
      <c r="L1439" s="1005"/>
      <c r="M1439" s="1005"/>
    </row>
    <row r="1440" spans="1:13">
      <c r="A1440" s="2251" t="s">
        <v>1097</v>
      </c>
      <c r="B1440" s="2252"/>
      <c r="C1440" s="1095" t="s">
        <v>886</v>
      </c>
      <c r="D1440" s="1071">
        <f>68.14+108.42</f>
        <v>176.56</v>
      </c>
      <c r="E1440" s="2253"/>
      <c r="F1440" s="2254"/>
      <c r="G1440" s="2255"/>
      <c r="H1440" s="1005"/>
      <c r="I1440" s="1525"/>
      <c r="J1440" s="1005"/>
      <c r="K1440" s="1005"/>
      <c r="L1440" s="1005"/>
      <c r="M1440" s="1005"/>
    </row>
    <row r="1441" spans="1:13" ht="15.75" thickBot="1">
      <c r="A1441" s="2256" t="s">
        <v>404</v>
      </c>
      <c r="B1441" s="2257"/>
      <c r="C1441" s="2258"/>
      <c r="D1441" s="1029">
        <f>SUM(D1439:D1440)</f>
        <v>293.39999999999998</v>
      </c>
      <c r="E1441" s="2259"/>
      <c r="F1441" s="2260"/>
      <c r="G1441" s="2261"/>
      <c r="H1441" s="1005"/>
      <c r="I1441" s="1005"/>
      <c r="J1441" s="1005"/>
      <c r="K1441" s="1005"/>
      <c r="L1441" s="1005"/>
      <c r="M1441" s="1005"/>
    </row>
    <row r="1442" spans="1:13" ht="6.75" customHeight="1" thickBot="1"/>
    <row r="1443" spans="1:13" ht="40.5" customHeight="1" thickBot="1">
      <c r="A1443" s="2074" t="s">
        <v>145</v>
      </c>
      <c r="B1443" s="2075"/>
      <c r="C1443" s="217"/>
      <c r="D1443" s="2036" t="s">
        <v>2199</v>
      </c>
      <c r="E1443" s="2036"/>
      <c r="F1443" s="2036"/>
      <c r="G1443" s="2037"/>
    </row>
    <row r="1444" spans="1:13">
      <c r="E1444" t="s">
        <v>2198</v>
      </c>
    </row>
  </sheetData>
  <mergeCells count="1020">
    <mergeCell ref="A1236:B1236"/>
    <mergeCell ref="E1236:G1236"/>
    <mergeCell ref="A1:G1"/>
    <mergeCell ref="A2:G2"/>
    <mergeCell ref="A3:G3"/>
    <mergeCell ref="B5:F5"/>
    <mergeCell ref="B6:E6"/>
    <mergeCell ref="A9:G9"/>
    <mergeCell ref="B32:C32"/>
    <mergeCell ref="E32:G35"/>
    <mergeCell ref="B33:C33"/>
    <mergeCell ref="B34:C34"/>
    <mergeCell ref="B35:C35"/>
    <mergeCell ref="A19:B19"/>
    <mergeCell ref="D19:G19"/>
    <mergeCell ref="B21:G21"/>
    <mergeCell ref="A22:G22"/>
    <mergeCell ref="A23:G23"/>
    <mergeCell ref="E24:G24"/>
    <mergeCell ref="B52:G52"/>
    <mergeCell ref="A53:G53"/>
    <mergeCell ref="C124:F124"/>
    <mergeCell ref="C125:F125"/>
    <mergeCell ref="C126:F126"/>
    <mergeCell ref="C127:F127"/>
    <mergeCell ref="C128:F128"/>
    <mergeCell ref="C129:F129"/>
    <mergeCell ref="A97:G97"/>
    <mergeCell ref="A108:G108"/>
    <mergeCell ref="A112:G112"/>
    <mergeCell ref="A83:G83"/>
    <mergeCell ref="E94:F94"/>
    <mergeCell ref="I53:M54"/>
    <mergeCell ref="A54:G54"/>
    <mergeCell ref="I50:J50"/>
    <mergeCell ref="B10:G10"/>
    <mergeCell ref="B12:G12"/>
    <mergeCell ref="B14:G14"/>
    <mergeCell ref="A15:G15"/>
    <mergeCell ref="A16:G16"/>
    <mergeCell ref="A17:B18"/>
    <mergeCell ref="D17:G17"/>
    <mergeCell ref="D18:G18"/>
    <mergeCell ref="A39:G39"/>
    <mergeCell ref="A40:G40"/>
    <mergeCell ref="B42:G42"/>
    <mergeCell ref="A43:G43"/>
    <mergeCell ref="A44:G44"/>
    <mergeCell ref="B46:G46"/>
    <mergeCell ref="A95:G95"/>
    <mergeCell ref="B38:G38"/>
    <mergeCell ref="E25:G25"/>
    <mergeCell ref="A26:C26"/>
    <mergeCell ref="B28:G28"/>
    <mergeCell ref="A29:G29"/>
    <mergeCell ref="A30:G30"/>
    <mergeCell ref="B31:C31"/>
    <mergeCell ref="E31:G31"/>
    <mergeCell ref="B73:G73"/>
    <mergeCell ref="B75:G75"/>
    <mergeCell ref="B77:G77"/>
    <mergeCell ref="B79:G79"/>
    <mergeCell ref="B81:G81"/>
    <mergeCell ref="B82:G82"/>
    <mergeCell ref="A58:G58"/>
    <mergeCell ref="E68:F68"/>
    <mergeCell ref="B69:C69"/>
    <mergeCell ref="E69:G69"/>
    <mergeCell ref="B70:C70"/>
    <mergeCell ref="E70:G70"/>
    <mergeCell ref="A142:B142"/>
    <mergeCell ref="E142:G142"/>
    <mergeCell ref="B144:G144"/>
    <mergeCell ref="A145:G145"/>
    <mergeCell ref="A146:G146"/>
    <mergeCell ref="E147:G147"/>
    <mergeCell ref="A138:A141"/>
    <mergeCell ref="B138:B141"/>
    <mergeCell ref="C138:C141"/>
    <mergeCell ref="D138:D141"/>
    <mergeCell ref="E138:G138"/>
    <mergeCell ref="E139:G141"/>
    <mergeCell ref="A136:G136"/>
    <mergeCell ref="E137:G137"/>
    <mergeCell ref="B56:G56"/>
    <mergeCell ref="A57:G57"/>
    <mergeCell ref="A47:G47"/>
    <mergeCell ref="A48:G48"/>
    <mergeCell ref="B49:C49"/>
    <mergeCell ref="E49:G49"/>
    <mergeCell ref="B50:C50"/>
    <mergeCell ref="E50:G50"/>
    <mergeCell ref="C130:F130"/>
    <mergeCell ref="C131:F131"/>
    <mergeCell ref="A132:B132"/>
    <mergeCell ref="C132:F132"/>
    <mergeCell ref="B134:G134"/>
    <mergeCell ref="A135:G135"/>
    <mergeCell ref="A118:G118"/>
    <mergeCell ref="A123:B123"/>
    <mergeCell ref="C123:G123"/>
    <mergeCell ref="A124:B131"/>
    <mergeCell ref="A169:G169"/>
    <mergeCell ref="E170:G170"/>
    <mergeCell ref="E172:G174"/>
    <mergeCell ref="A175:B175"/>
    <mergeCell ref="E175:G175"/>
    <mergeCell ref="B177:G177"/>
    <mergeCell ref="E157:G157"/>
    <mergeCell ref="E158:G163"/>
    <mergeCell ref="A165:B165"/>
    <mergeCell ref="E165:G165"/>
    <mergeCell ref="B167:G167"/>
    <mergeCell ref="A168:G168"/>
    <mergeCell ref="E149:G151"/>
    <mergeCell ref="A152:B152"/>
    <mergeCell ref="E152:G152"/>
    <mergeCell ref="B154:G154"/>
    <mergeCell ref="A155:G155"/>
    <mergeCell ref="A156:G156"/>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B222:G222"/>
    <mergeCell ref="A223:G223"/>
    <mergeCell ref="F218:G218"/>
    <mergeCell ref="F219:G219"/>
    <mergeCell ref="A220:D220"/>
    <mergeCell ref="E220:F220"/>
    <mergeCell ref="A194:B194"/>
    <mergeCell ref="B198:G198"/>
    <mergeCell ref="B215:G215"/>
    <mergeCell ref="A216:G216"/>
    <mergeCell ref="A217:G217"/>
    <mergeCell ref="A189:G189"/>
    <mergeCell ref="A192:G192"/>
    <mergeCell ref="E194:G194"/>
    <mergeCell ref="B191:G191"/>
    <mergeCell ref="A193:G193"/>
    <mergeCell ref="A195:B195"/>
    <mergeCell ref="E195:G196"/>
    <mergeCell ref="F207:G207"/>
    <mergeCell ref="F209:G209"/>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B257:G257"/>
    <mergeCell ref="A258:G258"/>
    <mergeCell ref="A259:G259"/>
    <mergeCell ref="F260:G260"/>
    <mergeCell ref="F261:G261"/>
    <mergeCell ref="A262:F262"/>
    <mergeCell ref="A251:G251"/>
    <mergeCell ref="A252:G252"/>
    <mergeCell ref="F253:G253"/>
    <mergeCell ref="F254:G254"/>
    <mergeCell ref="A255:F255"/>
    <mergeCell ref="A256:G256"/>
    <mergeCell ref="A245:G245"/>
    <mergeCell ref="F246:G246"/>
    <mergeCell ref="F247:G247"/>
    <mergeCell ref="A248:F248"/>
    <mergeCell ref="A249:G249"/>
    <mergeCell ref="B250:G250"/>
    <mergeCell ref="A276:F276"/>
    <mergeCell ref="B278:G278"/>
    <mergeCell ref="A279:G279"/>
    <mergeCell ref="A280:G280"/>
    <mergeCell ref="F281:G281"/>
    <mergeCell ref="F282:G282"/>
    <mergeCell ref="A269:F269"/>
    <mergeCell ref="B271:G271"/>
    <mergeCell ref="A272:G272"/>
    <mergeCell ref="A273:G273"/>
    <mergeCell ref="F274:G274"/>
    <mergeCell ref="F275:G275"/>
    <mergeCell ref="A263:G263"/>
    <mergeCell ref="B264:G264"/>
    <mergeCell ref="A265:G265"/>
    <mergeCell ref="A266:G266"/>
    <mergeCell ref="F267:G267"/>
    <mergeCell ref="F268:G268"/>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321:D321"/>
    <mergeCell ref="B323:G323"/>
    <mergeCell ref="A324:G324"/>
    <mergeCell ref="A325:G325"/>
    <mergeCell ref="E326:G326"/>
    <mergeCell ref="E327:G327"/>
    <mergeCell ref="A311:F311"/>
    <mergeCell ref="B313:G313"/>
    <mergeCell ref="A314:G314"/>
    <mergeCell ref="A315:G315"/>
    <mergeCell ref="F316:G316"/>
    <mergeCell ref="F317:G320"/>
    <mergeCell ref="A304:F304"/>
    <mergeCell ref="B306:G306"/>
    <mergeCell ref="A307:G307"/>
    <mergeCell ref="A308:G308"/>
    <mergeCell ref="F309:G309"/>
    <mergeCell ref="F310:G310"/>
    <mergeCell ref="A355:G355"/>
    <mergeCell ref="A364:G364"/>
    <mergeCell ref="A365:G365"/>
    <mergeCell ref="A378:G378"/>
    <mergeCell ref="A379:G379"/>
    <mergeCell ref="I384:J384"/>
    <mergeCell ref="B338:G338"/>
    <mergeCell ref="B339:G339"/>
    <mergeCell ref="A340:G340"/>
    <mergeCell ref="A341:G341"/>
    <mergeCell ref="A342:G342"/>
    <mergeCell ref="E353:F353"/>
    <mergeCell ref="B329:G329"/>
    <mergeCell ref="A330:G330"/>
    <mergeCell ref="A331:G331"/>
    <mergeCell ref="F332:G332"/>
    <mergeCell ref="F333:G335"/>
    <mergeCell ref="A336:D336"/>
    <mergeCell ref="A403:G403"/>
    <mergeCell ref="A412:G412"/>
    <mergeCell ref="A413:G413"/>
    <mergeCell ref="A426:G426"/>
    <mergeCell ref="A427:G427"/>
    <mergeCell ref="A437:G437"/>
    <mergeCell ref="C396:F396"/>
    <mergeCell ref="A397:F397"/>
    <mergeCell ref="A398:G398"/>
    <mergeCell ref="B399:G399"/>
    <mergeCell ref="A400:G400"/>
    <mergeCell ref="A401:G401"/>
    <mergeCell ref="I385:J385"/>
    <mergeCell ref="A389:G389"/>
    <mergeCell ref="A390:G390"/>
    <mergeCell ref="A391:B396"/>
    <mergeCell ref="C391:F391"/>
    <mergeCell ref="C392:F392"/>
    <mergeCell ref="C393:F393"/>
    <mergeCell ref="C394:F394"/>
    <mergeCell ref="C395:F395"/>
    <mergeCell ref="A462:G462"/>
    <mergeCell ref="A467:G467"/>
    <mergeCell ref="A468:G468"/>
    <mergeCell ref="A469:B472"/>
    <mergeCell ref="C469:F469"/>
    <mergeCell ref="C470:F470"/>
    <mergeCell ref="C471:F471"/>
    <mergeCell ref="C472:F472"/>
    <mergeCell ref="A445:F445"/>
    <mergeCell ref="B447:G447"/>
    <mergeCell ref="A448:G448"/>
    <mergeCell ref="A449:G449"/>
    <mergeCell ref="A451:G451"/>
    <mergeCell ref="A461:G461"/>
    <mergeCell ref="A438:G438"/>
    <mergeCell ref="A439:B444"/>
    <mergeCell ref="C439:F439"/>
    <mergeCell ref="C440:F440"/>
    <mergeCell ref="C441:F441"/>
    <mergeCell ref="C442:F442"/>
    <mergeCell ref="C443:F443"/>
    <mergeCell ref="C444:F444"/>
    <mergeCell ref="A501:F501"/>
    <mergeCell ref="B503:G503"/>
    <mergeCell ref="A504:G504"/>
    <mergeCell ref="A505:G505"/>
    <mergeCell ref="A507:G507"/>
    <mergeCell ref="A516:G516"/>
    <mergeCell ref="A490:G490"/>
    <mergeCell ref="A495:G495"/>
    <mergeCell ref="A496:G496"/>
    <mergeCell ref="A497:B500"/>
    <mergeCell ref="C497:F497"/>
    <mergeCell ref="C498:F498"/>
    <mergeCell ref="C499:F499"/>
    <mergeCell ref="C500:F500"/>
    <mergeCell ref="A473:F473"/>
    <mergeCell ref="B475:G475"/>
    <mergeCell ref="A476:G476"/>
    <mergeCell ref="A477:G477"/>
    <mergeCell ref="A479:G479"/>
    <mergeCell ref="A489:G489"/>
    <mergeCell ref="A553:G553"/>
    <mergeCell ref="A556:G556"/>
    <mergeCell ref="A557:G557"/>
    <mergeCell ref="A560:G560"/>
    <mergeCell ref="A561:G561"/>
    <mergeCell ref="A565:G565"/>
    <mergeCell ref="C545:F545"/>
    <mergeCell ref="C546:F546"/>
    <mergeCell ref="A547:F547"/>
    <mergeCell ref="B549:G549"/>
    <mergeCell ref="A550:G550"/>
    <mergeCell ref="A551:G551"/>
    <mergeCell ref="A517:G517"/>
    <mergeCell ref="A528:G528"/>
    <mergeCell ref="A529:G529"/>
    <mergeCell ref="A539:G539"/>
    <mergeCell ref="A540:G540"/>
    <mergeCell ref="A541:B546"/>
    <mergeCell ref="C541:F541"/>
    <mergeCell ref="C542:F542"/>
    <mergeCell ref="C543:F543"/>
    <mergeCell ref="C544:F544"/>
    <mergeCell ref="A587:G587"/>
    <mergeCell ref="A596:G596"/>
    <mergeCell ref="A597:G597"/>
    <mergeCell ref="A605:G605"/>
    <mergeCell ref="A606:G606"/>
    <mergeCell ref="A607:B612"/>
    <mergeCell ref="C607:F607"/>
    <mergeCell ref="C608:F608"/>
    <mergeCell ref="C609:F609"/>
    <mergeCell ref="C610:F610"/>
    <mergeCell ref="A573:F573"/>
    <mergeCell ref="B575:G575"/>
    <mergeCell ref="A576:G576"/>
    <mergeCell ref="A577:G577"/>
    <mergeCell ref="A579:G579"/>
    <mergeCell ref="A586:G586"/>
    <mergeCell ref="A566:G566"/>
    <mergeCell ref="A567:B572"/>
    <mergeCell ref="C567:F567"/>
    <mergeCell ref="C568:F568"/>
    <mergeCell ref="C569:F569"/>
    <mergeCell ref="C570:F570"/>
    <mergeCell ref="C571:F571"/>
    <mergeCell ref="C572:F572"/>
    <mergeCell ref="A632:G632"/>
    <mergeCell ref="A633:B638"/>
    <mergeCell ref="C633:F633"/>
    <mergeCell ref="C634:F634"/>
    <mergeCell ref="C635:F635"/>
    <mergeCell ref="C636:F636"/>
    <mergeCell ref="C637:F637"/>
    <mergeCell ref="C638:F638"/>
    <mergeCell ref="A619:G619"/>
    <mergeCell ref="A622:G622"/>
    <mergeCell ref="A623:G623"/>
    <mergeCell ref="A626:G626"/>
    <mergeCell ref="A627:G627"/>
    <mergeCell ref="A631:G631"/>
    <mergeCell ref="C611:F611"/>
    <mergeCell ref="C612:F612"/>
    <mergeCell ref="A613:F613"/>
    <mergeCell ref="B615:G615"/>
    <mergeCell ref="A616:G616"/>
    <mergeCell ref="A617:G617"/>
    <mergeCell ref="A654:B654"/>
    <mergeCell ref="A655:B655"/>
    <mergeCell ref="A656:B656"/>
    <mergeCell ref="B659:G659"/>
    <mergeCell ref="A660:G660"/>
    <mergeCell ref="A661:G661"/>
    <mergeCell ref="A645:B645"/>
    <mergeCell ref="E645:G657"/>
    <mergeCell ref="A646:B646"/>
    <mergeCell ref="A647:B647"/>
    <mergeCell ref="A648:B648"/>
    <mergeCell ref="A649:B649"/>
    <mergeCell ref="A650:B650"/>
    <mergeCell ref="A651:B651"/>
    <mergeCell ref="A652:B652"/>
    <mergeCell ref="A653:B653"/>
    <mergeCell ref="A639:F639"/>
    <mergeCell ref="B641:G641"/>
    <mergeCell ref="A642:G642"/>
    <mergeCell ref="A643:G643"/>
    <mergeCell ref="A644:B644"/>
    <mergeCell ref="E644:G644"/>
    <mergeCell ref="B678:G678"/>
    <mergeCell ref="A679:G679"/>
    <mergeCell ref="A680:G680"/>
    <mergeCell ref="A681:B681"/>
    <mergeCell ref="E681:G681"/>
    <mergeCell ref="A682:B682"/>
    <mergeCell ref="E682:G682"/>
    <mergeCell ref="A670:B670"/>
    <mergeCell ref="A671:B671"/>
    <mergeCell ref="A672:B672"/>
    <mergeCell ref="A673:B673"/>
    <mergeCell ref="A674:B674"/>
    <mergeCell ref="B677:G677"/>
    <mergeCell ref="A662:B662"/>
    <mergeCell ref="E662:G662"/>
    <mergeCell ref="A663:B663"/>
    <mergeCell ref="E663:G675"/>
    <mergeCell ref="A664:B664"/>
    <mergeCell ref="A665:B665"/>
    <mergeCell ref="A666:B666"/>
    <mergeCell ref="A667:B667"/>
    <mergeCell ref="A668:B668"/>
    <mergeCell ref="A669:B669"/>
    <mergeCell ref="A691:G691"/>
    <mergeCell ref="A692:B692"/>
    <mergeCell ref="E692:G692"/>
    <mergeCell ref="A693:B693"/>
    <mergeCell ref="E693:G693"/>
    <mergeCell ref="A694:B694"/>
    <mergeCell ref="E694:G694"/>
    <mergeCell ref="A686:B686"/>
    <mergeCell ref="E686:G686"/>
    <mergeCell ref="A687:C687"/>
    <mergeCell ref="E687:G687"/>
    <mergeCell ref="B689:G689"/>
    <mergeCell ref="A690:G690"/>
    <mergeCell ref="A683:B683"/>
    <mergeCell ref="E683:G683"/>
    <mergeCell ref="A684:B684"/>
    <mergeCell ref="E684:G684"/>
    <mergeCell ref="A685:B685"/>
    <mergeCell ref="E685:G685"/>
    <mergeCell ref="A703:B703"/>
    <mergeCell ref="E703:G703"/>
    <mergeCell ref="A704:C704"/>
    <mergeCell ref="E704:G704"/>
    <mergeCell ref="B706:G706"/>
    <mergeCell ref="A707:G707"/>
    <mergeCell ref="A698:G698"/>
    <mergeCell ref="B699:G699"/>
    <mergeCell ref="A700:G700"/>
    <mergeCell ref="A701:G701"/>
    <mergeCell ref="A702:B702"/>
    <mergeCell ref="E702:G702"/>
    <mergeCell ref="A695:B695"/>
    <mergeCell ref="E695:G695"/>
    <mergeCell ref="A696:B696"/>
    <mergeCell ref="E696:G696"/>
    <mergeCell ref="A697:C697"/>
    <mergeCell ref="E697:G697"/>
    <mergeCell ref="A717:G717"/>
    <mergeCell ref="A718:B718"/>
    <mergeCell ref="E718:G718"/>
    <mergeCell ref="A719:B719"/>
    <mergeCell ref="E719:G719"/>
    <mergeCell ref="A720:B720"/>
    <mergeCell ref="E720:G720"/>
    <mergeCell ref="A712:B712"/>
    <mergeCell ref="E712:G712"/>
    <mergeCell ref="A713:C713"/>
    <mergeCell ref="E713:G713"/>
    <mergeCell ref="B715:G715"/>
    <mergeCell ref="A716:G716"/>
    <mergeCell ref="A708:G708"/>
    <mergeCell ref="A709:B709"/>
    <mergeCell ref="E709:G709"/>
    <mergeCell ref="A710:B710"/>
    <mergeCell ref="E710:G710"/>
    <mergeCell ref="A711:B711"/>
    <mergeCell ref="E711:G711"/>
    <mergeCell ref="A731:C731"/>
    <mergeCell ref="B733:G733"/>
    <mergeCell ref="B734:G734"/>
    <mergeCell ref="A735:G735"/>
    <mergeCell ref="A736:G736"/>
    <mergeCell ref="A740:F740"/>
    <mergeCell ref="A726:G726"/>
    <mergeCell ref="A727:B727"/>
    <mergeCell ref="F727:G727"/>
    <mergeCell ref="A728:B730"/>
    <mergeCell ref="C728:C730"/>
    <mergeCell ref="D728:D730"/>
    <mergeCell ref="E728:E730"/>
    <mergeCell ref="F728:G730"/>
    <mergeCell ref="A721:B721"/>
    <mergeCell ref="E721:G721"/>
    <mergeCell ref="A722:C722"/>
    <mergeCell ref="E722:G722"/>
    <mergeCell ref="B724:G724"/>
    <mergeCell ref="A725:G725"/>
    <mergeCell ref="F754:G754"/>
    <mergeCell ref="A755:E755"/>
    <mergeCell ref="F755:G755"/>
    <mergeCell ref="B757:G757"/>
    <mergeCell ref="A758:G758"/>
    <mergeCell ref="A759:G759"/>
    <mergeCell ref="A748:E748"/>
    <mergeCell ref="F748:G748"/>
    <mergeCell ref="B750:G750"/>
    <mergeCell ref="A751:G751"/>
    <mergeCell ref="A752:G752"/>
    <mergeCell ref="F753:G753"/>
    <mergeCell ref="B742:G742"/>
    <mergeCell ref="B743:G743"/>
    <mergeCell ref="A744:G744"/>
    <mergeCell ref="A745:G745"/>
    <mergeCell ref="F746:G746"/>
    <mergeCell ref="F747:G747"/>
    <mergeCell ref="A796:G796"/>
    <mergeCell ref="A806:G806"/>
    <mergeCell ref="A807:G807"/>
    <mergeCell ref="A808:B813"/>
    <mergeCell ref="C808:F808"/>
    <mergeCell ref="C809:F809"/>
    <mergeCell ref="C810:F810"/>
    <mergeCell ref="C811:F811"/>
    <mergeCell ref="C812:F812"/>
    <mergeCell ref="C813:F813"/>
    <mergeCell ref="A769:G769"/>
    <mergeCell ref="A770:G770"/>
    <mergeCell ref="A772:G772"/>
    <mergeCell ref="A781:G781"/>
    <mergeCell ref="A782:G782"/>
    <mergeCell ref="A795:G795"/>
    <mergeCell ref="F760:G760"/>
    <mergeCell ref="F761:G765"/>
    <mergeCell ref="A762:C762"/>
    <mergeCell ref="A765:C765"/>
    <mergeCell ref="B767:G767"/>
    <mergeCell ref="B768:G768"/>
    <mergeCell ref="C860:F860"/>
    <mergeCell ref="C861:F861"/>
    <mergeCell ref="A862:F862"/>
    <mergeCell ref="B864:G864"/>
    <mergeCell ref="A865:G865"/>
    <mergeCell ref="A866:G866"/>
    <mergeCell ref="A830:G830"/>
    <mergeCell ref="A843:G843"/>
    <mergeCell ref="A844:G844"/>
    <mergeCell ref="A854:G854"/>
    <mergeCell ref="A855:G855"/>
    <mergeCell ref="A856:B861"/>
    <mergeCell ref="C856:F856"/>
    <mergeCell ref="C857:F857"/>
    <mergeCell ref="C858:F858"/>
    <mergeCell ref="C859:F859"/>
    <mergeCell ref="A814:F814"/>
    <mergeCell ref="B816:G816"/>
    <mergeCell ref="A817:G817"/>
    <mergeCell ref="A818:G818"/>
    <mergeCell ref="A820:G820"/>
    <mergeCell ref="A829:G829"/>
    <mergeCell ref="A910:F910"/>
    <mergeCell ref="B912:G912"/>
    <mergeCell ref="A913:G913"/>
    <mergeCell ref="A914:G914"/>
    <mergeCell ref="A915:B915"/>
    <mergeCell ref="E915:G915"/>
    <mergeCell ref="A903:G903"/>
    <mergeCell ref="A904:B909"/>
    <mergeCell ref="C904:F904"/>
    <mergeCell ref="C905:F905"/>
    <mergeCell ref="C906:F906"/>
    <mergeCell ref="C907:F907"/>
    <mergeCell ref="C908:F908"/>
    <mergeCell ref="C909:F909"/>
    <mergeCell ref="A868:G868"/>
    <mergeCell ref="A877:G877"/>
    <mergeCell ref="A878:G878"/>
    <mergeCell ref="A891:G891"/>
    <mergeCell ref="A892:G892"/>
    <mergeCell ref="A902:G902"/>
    <mergeCell ref="B933:G933"/>
    <mergeCell ref="A934:G934"/>
    <mergeCell ref="A935:G935"/>
    <mergeCell ref="A936:B936"/>
    <mergeCell ref="E936:G936"/>
    <mergeCell ref="A937:B937"/>
    <mergeCell ref="E937:G950"/>
    <mergeCell ref="A938:B938"/>
    <mergeCell ref="A939:B939"/>
    <mergeCell ref="A940:B940"/>
    <mergeCell ref="A925:B925"/>
    <mergeCell ref="A926:B926"/>
    <mergeCell ref="A927:B927"/>
    <mergeCell ref="A928:B928"/>
    <mergeCell ref="A929:B929"/>
    <mergeCell ref="A930:B930"/>
    <mergeCell ref="A916:B916"/>
    <mergeCell ref="E916:G931"/>
    <mergeCell ref="A917:B917"/>
    <mergeCell ref="A918:B918"/>
    <mergeCell ref="A919:B919"/>
    <mergeCell ref="A920:B920"/>
    <mergeCell ref="A921:B921"/>
    <mergeCell ref="A922:B922"/>
    <mergeCell ref="A923:B923"/>
    <mergeCell ref="A924:B924"/>
    <mergeCell ref="A955:B955"/>
    <mergeCell ref="E955:G955"/>
    <mergeCell ref="A956:B956"/>
    <mergeCell ref="E956:G969"/>
    <mergeCell ref="A957:B957"/>
    <mergeCell ref="A958:B958"/>
    <mergeCell ref="A959:B959"/>
    <mergeCell ref="A960:B960"/>
    <mergeCell ref="A961:B961"/>
    <mergeCell ref="A962:B962"/>
    <mergeCell ref="A947:B947"/>
    <mergeCell ref="A948:B948"/>
    <mergeCell ref="A949:B949"/>
    <mergeCell ref="B952:G952"/>
    <mergeCell ref="A953:G953"/>
    <mergeCell ref="A954:G954"/>
    <mergeCell ref="A941:B941"/>
    <mergeCell ref="A942:B942"/>
    <mergeCell ref="A943:B943"/>
    <mergeCell ref="A944:B944"/>
    <mergeCell ref="A945:B945"/>
    <mergeCell ref="A946:B946"/>
    <mergeCell ref="A992:G992"/>
    <mergeCell ref="A993:G993"/>
    <mergeCell ref="A1001:G1001"/>
    <mergeCell ref="A1002:G1002"/>
    <mergeCell ref="A1003:B1008"/>
    <mergeCell ref="C1003:F1003"/>
    <mergeCell ref="C1004:F1004"/>
    <mergeCell ref="C1005:F1005"/>
    <mergeCell ref="C1006:F1006"/>
    <mergeCell ref="C1007:F1007"/>
    <mergeCell ref="B971:G971"/>
    <mergeCell ref="A972:G972"/>
    <mergeCell ref="A973:G973"/>
    <mergeCell ref="A975:G975"/>
    <mergeCell ref="A982:G982"/>
    <mergeCell ref="A983:G983"/>
    <mergeCell ref="A963:B963"/>
    <mergeCell ref="A964:B964"/>
    <mergeCell ref="A965:B965"/>
    <mergeCell ref="A966:B966"/>
    <mergeCell ref="A967:B967"/>
    <mergeCell ref="A968:B968"/>
    <mergeCell ref="A1043:B1048"/>
    <mergeCell ref="C1043:F1043"/>
    <mergeCell ref="C1044:F1044"/>
    <mergeCell ref="C1045:F1045"/>
    <mergeCell ref="C1046:F1046"/>
    <mergeCell ref="C1047:F1047"/>
    <mergeCell ref="C1048:F1048"/>
    <mergeCell ref="A1022:G1022"/>
    <mergeCell ref="A1023:G1023"/>
    <mergeCell ref="A1032:G1032"/>
    <mergeCell ref="A1033:G1033"/>
    <mergeCell ref="A1041:G1041"/>
    <mergeCell ref="A1042:G1042"/>
    <mergeCell ref="C1008:F1008"/>
    <mergeCell ref="A1009:F1009"/>
    <mergeCell ref="B1011:G1011"/>
    <mergeCell ref="A1012:G1012"/>
    <mergeCell ref="A1013:G1013"/>
    <mergeCell ref="A1015:G1015"/>
    <mergeCell ref="A1062:B1062"/>
    <mergeCell ref="E1062:G1062"/>
    <mergeCell ref="A1063:B1063"/>
    <mergeCell ref="E1063:G1064"/>
    <mergeCell ref="B1066:G1066"/>
    <mergeCell ref="A1067:G1067"/>
    <mergeCell ref="A1055:B1055"/>
    <mergeCell ref="E1055:G1057"/>
    <mergeCell ref="A1056:B1056"/>
    <mergeCell ref="B1059:G1059"/>
    <mergeCell ref="A1060:G1060"/>
    <mergeCell ref="A1061:G1061"/>
    <mergeCell ref="A1049:F1049"/>
    <mergeCell ref="B1051:G1051"/>
    <mergeCell ref="A1052:G1052"/>
    <mergeCell ref="A1053:G1053"/>
    <mergeCell ref="A1054:B1054"/>
    <mergeCell ref="E1054:G1054"/>
    <mergeCell ref="C1082:G1083"/>
    <mergeCell ref="C1084:G1084"/>
    <mergeCell ref="B1086:G1086"/>
    <mergeCell ref="A1087:G1087"/>
    <mergeCell ref="A1088:G1088"/>
    <mergeCell ref="C1089:G1089"/>
    <mergeCell ref="B1076:G1076"/>
    <mergeCell ref="B1077:G1077"/>
    <mergeCell ref="B1078:G1078"/>
    <mergeCell ref="A1079:G1079"/>
    <mergeCell ref="A1080:G1080"/>
    <mergeCell ref="C1081:G1081"/>
    <mergeCell ref="A1068:G1068"/>
    <mergeCell ref="A1069:B1069"/>
    <mergeCell ref="E1069:G1069"/>
    <mergeCell ref="A1070:B1070"/>
    <mergeCell ref="E1070:G1074"/>
    <mergeCell ref="A1071:B1071"/>
    <mergeCell ref="A1072:B1072"/>
    <mergeCell ref="A1073:B1073"/>
    <mergeCell ref="C1110:G1110"/>
    <mergeCell ref="B1112:G1112"/>
    <mergeCell ref="A1113:G1113"/>
    <mergeCell ref="A1114:G1114"/>
    <mergeCell ref="C1115:G1115"/>
    <mergeCell ref="C1118:G1118"/>
    <mergeCell ref="C1102:G1102"/>
    <mergeCell ref="B1104:G1104"/>
    <mergeCell ref="A1105:G1105"/>
    <mergeCell ref="A1106:G1106"/>
    <mergeCell ref="C1107:G1107"/>
    <mergeCell ref="C1108:G1109"/>
    <mergeCell ref="C1092:G1092"/>
    <mergeCell ref="B1094:G1094"/>
    <mergeCell ref="A1095:G1095"/>
    <mergeCell ref="A1096:G1096"/>
    <mergeCell ref="C1097:G1097"/>
    <mergeCell ref="C1098:G1101"/>
    <mergeCell ref="B1136:G1136"/>
    <mergeCell ref="A1137:G1137"/>
    <mergeCell ref="A1138:G1138"/>
    <mergeCell ref="C1139:E1139"/>
    <mergeCell ref="C1140:G1141"/>
    <mergeCell ref="C1142:G1142"/>
    <mergeCell ref="A1129:G1129"/>
    <mergeCell ref="A1130:G1130"/>
    <mergeCell ref="C1131:G1131"/>
    <mergeCell ref="C1132:G1132"/>
    <mergeCell ref="C1133:G1133"/>
    <mergeCell ref="B1135:G1135"/>
    <mergeCell ref="B1120:G1120"/>
    <mergeCell ref="A1121:G1121"/>
    <mergeCell ref="A1122:G1122"/>
    <mergeCell ref="C1123:G1123"/>
    <mergeCell ref="C1126:G1126"/>
    <mergeCell ref="B1128:G1128"/>
    <mergeCell ref="B1160:G1160"/>
    <mergeCell ref="A1161:G1161"/>
    <mergeCell ref="A1162:G1162"/>
    <mergeCell ref="C1163:F1163"/>
    <mergeCell ref="C1171:G1171"/>
    <mergeCell ref="B1173:G1173"/>
    <mergeCell ref="B1152:G1152"/>
    <mergeCell ref="A1153:G1153"/>
    <mergeCell ref="A1154:G1154"/>
    <mergeCell ref="C1155:G1155"/>
    <mergeCell ref="C1156:G1157"/>
    <mergeCell ref="C1158:G1158"/>
    <mergeCell ref="B1144:G1144"/>
    <mergeCell ref="A1145:G1145"/>
    <mergeCell ref="A1146:G1146"/>
    <mergeCell ref="C1147:F1147"/>
    <mergeCell ref="C1148:G1149"/>
    <mergeCell ref="C1150:G1150"/>
    <mergeCell ref="C1203:F1203"/>
    <mergeCell ref="C1204:G1207"/>
    <mergeCell ref="C1208:G1208"/>
    <mergeCell ref="B1210:G1210"/>
    <mergeCell ref="B1211:G1211"/>
    <mergeCell ref="A1212:G1212"/>
    <mergeCell ref="A1189:G1189"/>
    <mergeCell ref="C1190:F1190"/>
    <mergeCell ref="C1198:G1198"/>
    <mergeCell ref="B1200:G1200"/>
    <mergeCell ref="A1201:G1201"/>
    <mergeCell ref="A1202:G1202"/>
    <mergeCell ref="A1174:G1174"/>
    <mergeCell ref="A1175:G1175"/>
    <mergeCell ref="C1176:F1176"/>
    <mergeCell ref="C1185:G1185"/>
    <mergeCell ref="B1187:G1187"/>
    <mergeCell ref="A1188:G1188"/>
    <mergeCell ref="A1232:G1232"/>
    <mergeCell ref="A1233:G1233"/>
    <mergeCell ref="A1234:B1234"/>
    <mergeCell ref="E1234:G1234"/>
    <mergeCell ref="A1235:B1235"/>
    <mergeCell ref="E1235:G1235"/>
    <mergeCell ref="B1222:G1222"/>
    <mergeCell ref="B1224:G1224"/>
    <mergeCell ref="B1226:G1226"/>
    <mergeCell ref="B1228:G1228"/>
    <mergeCell ref="B1230:G1230"/>
    <mergeCell ref="B1231:G1231"/>
    <mergeCell ref="A1213:G1213"/>
    <mergeCell ref="E1214:G1214"/>
    <mergeCell ref="C1215:G1215"/>
    <mergeCell ref="C1216:G1216"/>
    <mergeCell ref="B1218:G1218"/>
    <mergeCell ref="B1220:G1220"/>
    <mergeCell ref="A1248:G1248"/>
    <mergeCell ref="A1249:B1249"/>
    <mergeCell ref="E1249:G1249"/>
    <mergeCell ref="A1250:B1250"/>
    <mergeCell ref="E1250:G1250"/>
    <mergeCell ref="A1251:C1251"/>
    <mergeCell ref="E1251:G1251"/>
    <mergeCell ref="A1243:B1243"/>
    <mergeCell ref="E1243:G1243"/>
    <mergeCell ref="A1244:C1244"/>
    <mergeCell ref="E1244:G1244"/>
    <mergeCell ref="B1246:G1246"/>
    <mergeCell ref="A1247:G1247"/>
    <mergeCell ref="A1237:C1237"/>
    <mergeCell ref="E1237:G1237"/>
    <mergeCell ref="B1239:G1239"/>
    <mergeCell ref="A1240:G1240"/>
    <mergeCell ref="A1241:G1241"/>
    <mergeCell ref="A1242:B1242"/>
    <mergeCell ref="E1242:G1242"/>
    <mergeCell ref="A1266:G1266"/>
    <mergeCell ref="B1267:G1267"/>
    <mergeCell ref="A1268:G1268"/>
    <mergeCell ref="A1269:G1269"/>
    <mergeCell ref="E1270:G1270"/>
    <mergeCell ref="E1271:G1271"/>
    <mergeCell ref="B1260:G1260"/>
    <mergeCell ref="A1261:G1261"/>
    <mergeCell ref="A1262:G1262"/>
    <mergeCell ref="E1263:G1263"/>
    <mergeCell ref="E1264:G1264"/>
    <mergeCell ref="A1265:C1265"/>
    <mergeCell ref="E1265:G1265"/>
    <mergeCell ref="B1253:G1253"/>
    <mergeCell ref="A1254:G1254"/>
    <mergeCell ref="A1255:G1255"/>
    <mergeCell ref="E1256:G1256"/>
    <mergeCell ref="E1257:G1257"/>
    <mergeCell ref="A1258:C1258"/>
    <mergeCell ref="E1258:G1258"/>
    <mergeCell ref="B1284:C1284"/>
    <mergeCell ref="D1284:G1284"/>
    <mergeCell ref="B1285:C1285"/>
    <mergeCell ref="D1285:G1285"/>
    <mergeCell ref="B1286:C1286"/>
    <mergeCell ref="A1288:G1288"/>
    <mergeCell ref="B1278:C1278"/>
    <mergeCell ref="D1278:G1278"/>
    <mergeCell ref="B1279:C1279"/>
    <mergeCell ref="B1281:G1281"/>
    <mergeCell ref="A1282:G1282"/>
    <mergeCell ref="A1283:G1283"/>
    <mergeCell ref="A1272:C1272"/>
    <mergeCell ref="E1272:G1272"/>
    <mergeCell ref="B1274:G1274"/>
    <mergeCell ref="A1275:G1275"/>
    <mergeCell ref="A1276:G1276"/>
    <mergeCell ref="B1277:C1277"/>
    <mergeCell ref="D1277:G1277"/>
    <mergeCell ref="A1302:C1302"/>
    <mergeCell ref="B1304:G1304"/>
    <mergeCell ref="A1305:G1305"/>
    <mergeCell ref="A1306:G1306"/>
    <mergeCell ref="F1307:G1307"/>
    <mergeCell ref="F1308:G1308"/>
    <mergeCell ref="B1296:G1296"/>
    <mergeCell ref="A1297:G1297"/>
    <mergeCell ref="A1298:G1298"/>
    <mergeCell ref="F1299:G1299"/>
    <mergeCell ref="F1300:G1300"/>
    <mergeCell ref="F1301:G1301"/>
    <mergeCell ref="B1289:G1289"/>
    <mergeCell ref="A1290:G1290"/>
    <mergeCell ref="A1291:G1291"/>
    <mergeCell ref="F1292:G1292"/>
    <mergeCell ref="F1293:G1293"/>
    <mergeCell ref="A1294:C1294"/>
    <mergeCell ref="F1323:G1323"/>
    <mergeCell ref="F1324:G1324"/>
    <mergeCell ref="F1325:G1325"/>
    <mergeCell ref="A1326:C1326"/>
    <mergeCell ref="B1328:G1328"/>
    <mergeCell ref="A1329:G1329"/>
    <mergeCell ref="F1316:G1316"/>
    <mergeCell ref="F1317:G1317"/>
    <mergeCell ref="A1318:C1318"/>
    <mergeCell ref="B1320:G1320"/>
    <mergeCell ref="A1321:G1321"/>
    <mergeCell ref="A1322:G1322"/>
    <mergeCell ref="F1309:G1309"/>
    <mergeCell ref="A1310:C1310"/>
    <mergeCell ref="B1312:G1312"/>
    <mergeCell ref="A1313:G1313"/>
    <mergeCell ref="A1314:G1314"/>
    <mergeCell ref="F1315:G1315"/>
    <mergeCell ref="A1344:G1344"/>
    <mergeCell ref="A1345:G1345"/>
    <mergeCell ref="A1346:B1346"/>
    <mergeCell ref="E1346:G1346"/>
    <mergeCell ref="A1347:B1347"/>
    <mergeCell ref="E1347:G1347"/>
    <mergeCell ref="A1337:G1337"/>
    <mergeCell ref="A1338:G1338"/>
    <mergeCell ref="F1339:G1339"/>
    <mergeCell ref="F1340:G1340"/>
    <mergeCell ref="A1341:C1341"/>
    <mergeCell ref="B1343:G1343"/>
    <mergeCell ref="A1330:G1330"/>
    <mergeCell ref="F1331:G1331"/>
    <mergeCell ref="F1332:G1332"/>
    <mergeCell ref="F1333:G1333"/>
    <mergeCell ref="A1334:C1334"/>
    <mergeCell ref="B1336:G1336"/>
    <mergeCell ref="A1359:G1359"/>
    <mergeCell ref="A1360:B1360"/>
    <mergeCell ref="E1360:G1360"/>
    <mergeCell ref="A1361:B1361"/>
    <mergeCell ref="E1361:G1361"/>
    <mergeCell ref="A1362:C1362"/>
    <mergeCell ref="E1362:G1362"/>
    <mergeCell ref="A1354:B1354"/>
    <mergeCell ref="E1354:G1354"/>
    <mergeCell ref="A1355:C1355"/>
    <mergeCell ref="E1355:G1355"/>
    <mergeCell ref="B1357:G1357"/>
    <mergeCell ref="A1358:G1358"/>
    <mergeCell ref="A1348:C1348"/>
    <mergeCell ref="E1348:G1348"/>
    <mergeCell ref="B1350:G1350"/>
    <mergeCell ref="A1351:G1351"/>
    <mergeCell ref="A1352:G1352"/>
    <mergeCell ref="A1353:B1353"/>
    <mergeCell ref="E1353:G1353"/>
    <mergeCell ref="B1379:G1379"/>
    <mergeCell ref="A1380:G1380"/>
    <mergeCell ref="A1381:G1381"/>
    <mergeCell ref="F1382:G1382"/>
    <mergeCell ref="F1383:G1383"/>
    <mergeCell ref="A1385:C1385"/>
    <mergeCell ref="B1372:G1372"/>
    <mergeCell ref="A1373:G1373"/>
    <mergeCell ref="A1374:G1374"/>
    <mergeCell ref="F1375:G1375"/>
    <mergeCell ref="F1376:G1376"/>
    <mergeCell ref="A1377:C1377"/>
    <mergeCell ref="B1364:G1364"/>
    <mergeCell ref="A1365:G1365"/>
    <mergeCell ref="A1366:G1366"/>
    <mergeCell ref="E1367:G1367"/>
    <mergeCell ref="E1368:G1369"/>
    <mergeCell ref="E1370:G1370"/>
    <mergeCell ref="B1403:G1403"/>
    <mergeCell ref="A1404:G1404"/>
    <mergeCell ref="A1405:G1405"/>
    <mergeCell ref="F1406:G1406"/>
    <mergeCell ref="F1407:G1407"/>
    <mergeCell ref="A1409:C1409"/>
    <mergeCell ref="B1395:G1395"/>
    <mergeCell ref="A1396:G1396"/>
    <mergeCell ref="A1397:G1397"/>
    <mergeCell ref="F1398:G1398"/>
    <mergeCell ref="F1399:G1399"/>
    <mergeCell ref="A1401:C1401"/>
    <mergeCell ref="B1387:G1387"/>
    <mergeCell ref="A1388:G1388"/>
    <mergeCell ref="A1389:G1389"/>
    <mergeCell ref="F1390:G1390"/>
    <mergeCell ref="F1391:G1391"/>
    <mergeCell ref="A1393:C1393"/>
    <mergeCell ref="A1428:G1428"/>
    <mergeCell ref="A1429:G1429"/>
    <mergeCell ref="A1430:B1430"/>
    <mergeCell ref="E1430:G1430"/>
    <mergeCell ref="A1431:B1431"/>
    <mergeCell ref="E1431:G1431"/>
    <mergeCell ref="B1418:G1418"/>
    <mergeCell ref="A1419:G1419"/>
    <mergeCell ref="A1420:G1420"/>
    <mergeCell ref="C1421:G1421"/>
    <mergeCell ref="C1422:G1423"/>
    <mergeCell ref="B1426:G1426"/>
    <mergeCell ref="B1411:G1411"/>
    <mergeCell ref="A1412:G1412"/>
    <mergeCell ref="A1413:G1413"/>
    <mergeCell ref="F1414:G1414"/>
    <mergeCell ref="F1415:G1416"/>
    <mergeCell ref="A1416:C1416"/>
    <mergeCell ref="A1443:B1443"/>
    <mergeCell ref="D1443:G1443"/>
    <mergeCell ref="A1439:B1439"/>
    <mergeCell ref="E1439:G1439"/>
    <mergeCell ref="A1440:B1440"/>
    <mergeCell ref="E1440:G1440"/>
    <mergeCell ref="A1441:C1441"/>
    <mergeCell ref="E1441:G1441"/>
    <mergeCell ref="A1433:C1433"/>
    <mergeCell ref="E1433:G1433"/>
    <mergeCell ref="B1435:G1435"/>
    <mergeCell ref="A1436:G1436"/>
    <mergeCell ref="A1437:G1437"/>
    <mergeCell ref="A1438:B1438"/>
    <mergeCell ref="E1438:G1438"/>
    <mergeCell ref="A1432:B1432"/>
    <mergeCell ref="E1432:G1432"/>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34</vt:i4>
      </vt:variant>
    </vt:vector>
  </HeadingPairs>
  <TitlesOfParts>
    <vt:vector size="49" baseType="lpstr">
      <vt:lpstr>CRONOGRAMA SEM DESONERAÇÃO</vt:lpstr>
      <vt:lpstr>RESUMO SEM DESONERAÇÃO</vt:lpstr>
      <vt:lpstr>PLANILHA SEM DESON</vt:lpstr>
      <vt:lpstr>COMP CIVIL</vt:lpstr>
      <vt:lpstr>COMP ESTRUT</vt:lpstr>
      <vt:lpstr>COMP ELE</vt:lpstr>
      <vt:lpstr>COMP HIDR</vt:lpstr>
      <vt:lpstr>COMP ETE</vt:lpstr>
      <vt:lpstr>QTITQTIVO ARQ FINAL</vt:lpstr>
      <vt:lpstr>QTITQTIVO ESTRUTURAL</vt:lpstr>
      <vt:lpstr>QT ESTR MURO-MURETA</vt:lpstr>
      <vt:lpstr>QTITATIVO ELÉTRICA</vt:lpstr>
      <vt:lpstr>LISTA DE MAT HIDROSSAN</vt:lpstr>
      <vt:lpstr>QTITQTIVO ETE - ADELMO</vt:lpstr>
      <vt:lpstr>BDI NÃO DESONERADO</vt:lpstr>
      <vt:lpstr>ACF</vt:lpstr>
      <vt:lpstr>ADELMO</vt:lpstr>
      <vt:lpstr>'BDI NÃO DESONERADO'!Area_de_impressao</vt:lpstr>
      <vt:lpstr>'COMP CIVIL'!Area_de_impressao</vt:lpstr>
      <vt:lpstr>'COMP ELE'!Area_de_impressao</vt:lpstr>
      <vt:lpstr>'COMP ESTRUT'!Area_de_impressao</vt:lpstr>
      <vt:lpstr>'COMP ETE'!Area_de_impressao</vt:lpstr>
      <vt:lpstr>'COMP HIDR'!Area_de_impressao</vt:lpstr>
      <vt:lpstr>'CRONOGRAMA SEM DESONERAÇÃO'!Area_de_impressao</vt:lpstr>
      <vt:lpstr>'PLANILHA SEM DESON'!Area_de_impressao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2021-08-19T20:38:54Z</cp:lastPrinted>
  <dcterms:created xsi:type="dcterms:W3CDTF">2012-12-28T17:23:20Z</dcterms:created>
  <dcterms:modified xsi:type="dcterms:W3CDTF">2022-07-22T20:06:04Z</dcterms:modified>
</cp:coreProperties>
</file>